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7220" windowHeight="7170"/>
  </bookViews>
  <sheets>
    <sheet name="OSNOVNE ŠKOLE" sheetId="1" r:id="rId1"/>
    <sheet name="SREDNJE ŠKOLE" sheetId="2" r:id="rId2"/>
    <sheet name="ZDRAVSTVO I SOC.SKRB" sheetId="9" r:id="rId3"/>
  </sheets>
  <definedNames>
    <definedName name="_xlnm.Print_Area" localSheetId="0">'OSNOVNE ŠKOLE'!$A$1:$AD$37</definedName>
    <definedName name="_xlnm.Print_Area" localSheetId="1">'SREDNJE ŠKOLE'!$A$1:$U$28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E47" i="9" l="1"/>
  <c r="D47" i="9"/>
  <c r="C34" i="9"/>
  <c r="C30" i="9"/>
  <c r="C26" i="9"/>
  <c r="C22" i="9"/>
  <c r="C18" i="9"/>
  <c r="C5" i="9"/>
  <c r="C4" i="9"/>
  <c r="C13" i="9" l="1"/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8" i="1"/>
  <c r="Z7" i="1"/>
  <c r="Z6" i="1"/>
  <c r="D25" i="1"/>
  <c r="C24" i="2"/>
  <c r="D10" i="2"/>
  <c r="D11" i="2"/>
  <c r="D12" i="2"/>
  <c r="D14" i="2"/>
  <c r="D16" i="2"/>
  <c r="D17" i="2"/>
  <c r="D18" i="2"/>
  <c r="D21" i="2"/>
  <c r="D23" i="2"/>
  <c r="D8" i="2"/>
  <c r="D7" i="2"/>
  <c r="D9" i="1"/>
  <c r="D12" i="1"/>
  <c r="D22" i="1"/>
  <c r="D8" i="1"/>
  <c r="Z31" i="1" l="1"/>
  <c r="U31" i="1"/>
  <c r="R31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T6" i="1"/>
  <c r="S6" i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7" i="2"/>
  <c r="K7" i="2"/>
  <c r="J24" i="2"/>
  <c r="I24" i="2"/>
  <c r="N24" i="2"/>
  <c r="O24" i="2"/>
  <c r="P24" i="2"/>
  <c r="U24" i="2"/>
  <c r="E24" i="2"/>
  <c r="L24" i="2" l="1"/>
  <c r="K24" i="2"/>
  <c r="T31" i="1"/>
  <c r="S31" i="1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F13" i="2" s="1"/>
  <c r="G13" i="2"/>
  <c r="H12" i="2"/>
  <c r="F12" i="2" s="1"/>
  <c r="G12" i="2"/>
  <c r="H11" i="2"/>
  <c r="G11" i="2"/>
  <c r="F11" i="2"/>
  <c r="H10" i="2"/>
  <c r="F10" i="2" s="1"/>
  <c r="G10" i="2"/>
  <c r="H9" i="2"/>
  <c r="F9" i="2" s="1"/>
  <c r="G9" i="2"/>
  <c r="H8" i="2"/>
  <c r="G8" i="2"/>
  <c r="G7" i="2"/>
  <c r="AD31" i="1"/>
  <c r="Y31" i="1"/>
  <c r="W31" i="1"/>
  <c r="V31" i="1"/>
  <c r="Q31" i="1"/>
  <c r="N31" i="1"/>
  <c r="O31" i="1" s="1"/>
  <c r="K31" i="1"/>
  <c r="G31" i="1"/>
  <c r="J31" i="1" s="1"/>
  <c r="O26" i="1"/>
  <c r="P26" i="1" s="1"/>
  <c r="M26" i="1"/>
  <c r="L26" i="1" s="1"/>
  <c r="J26" i="1"/>
  <c r="I26" i="1"/>
  <c r="H26" i="1"/>
  <c r="O25" i="1"/>
  <c r="P25" i="1" s="1"/>
  <c r="M25" i="1"/>
  <c r="L25" i="1" s="1"/>
  <c r="J25" i="1"/>
  <c r="I25" i="1"/>
  <c r="H25" i="1"/>
  <c r="O24" i="1"/>
  <c r="P24" i="1" s="1"/>
  <c r="M24" i="1"/>
  <c r="L24" i="1" s="1"/>
  <c r="J24" i="1"/>
  <c r="I24" i="1"/>
  <c r="H24" i="1"/>
  <c r="O23" i="1"/>
  <c r="P23" i="1" s="1"/>
  <c r="M23" i="1"/>
  <c r="L23" i="1" s="1"/>
  <c r="J23" i="1"/>
  <c r="I23" i="1"/>
  <c r="H23" i="1"/>
  <c r="O22" i="1"/>
  <c r="P22" i="1" s="1"/>
  <c r="M22" i="1"/>
  <c r="L22" i="1" s="1"/>
  <c r="J22" i="1"/>
  <c r="I22" i="1"/>
  <c r="H22" i="1"/>
  <c r="O21" i="1"/>
  <c r="P21" i="1" s="1"/>
  <c r="M21" i="1"/>
  <c r="L21" i="1" s="1"/>
  <c r="J21" i="1"/>
  <c r="I21" i="1"/>
  <c r="H21" i="1"/>
  <c r="O20" i="1"/>
  <c r="P20" i="1" s="1"/>
  <c r="M20" i="1"/>
  <c r="L20" i="1" s="1"/>
  <c r="J20" i="1"/>
  <c r="I20" i="1"/>
  <c r="H20" i="1"/>
  <c r="O19" i="1"/>
  <c r="P19" i="1" s="1"/>
  <c r="M19" i="1"/>
  <c r="L19" i="1" s="1"/>
  <c r="J19" i="1"/>
  <c r="I19" i="1"/>
  <c r="H19" i="1"/>
  <c r="O18" i="1"/>
  <c r="P18" i="1" s="1"/>
  <c r="M18" i="1"/>
  <c r="L18" i="1" s="1"/>
  <c r="J18" i="1"/>
  <c r="I18" i="1"/>
  <c r="H18" i="1"/>
  <c r="O17" i="1"/>
  <c r="P17" i="1" s="1"/>
  <c r="M17" i="1"/>
  <c r="L17" i="1" s="1"/>
  <c r="J17" i="1"/>
  <c r="I17" i="1"/>
  <c r="H17" i="1"/>
  <c r="O16" i="1"/>
  <c r="P16" i="1" s="1"/>
  <c r="M16" i="1"/>
  <c r="L16" i="1" s="1"/>
  <c r="J16" i="1"/>
  <c r="I16" i="1"/>
  <c r="H16" i="1"/>
  <c r="O15" i="1"/>
  <c r="P15" i="1" s="1"/>
  <c r="M15" i="1"/>
  <c r="L15" i="1" s="1"/>
  <c r="J15" i="1"/>
  <c r="I15" i="1"/>
  <c r="H15" i="1"/>
  <c r="O14" i="1"/>
  <c r="P14" i="1" s="1"/>
  <c r="M14" i="1"/>
  <c r="L14" i="1" s="1"/>
  <c r="J14" i="1"/>
  <c r="I14" i="1"/>
  <c r="H14" i="1"/>
  <c r="O13" i="1"/>
  <c r="P13" i="1" s="1"/>
  <c r="M13" i="1"/>
  <c r="L13" i="1" s="1"/>
  <c r="J13" i="1"/>
  <c r="I13" i="1"/>
  <c r="H13" i="1"/>
  <c r="O12" i="1"/>
  <c r="P12" i="1" s="1"/>
  <c r="M12" i="1"/>
  <c r="L12" i="1" s="1"/>
  <c r="J12" i="1"/>
  <c r="I12" i="1"/>
  <c r="H12" i="1"/>
  <c r="O11" i="1"/>
  <c r="P11" i="1" s="1"/>
  <c r="M11" i="1"/>
  <c r="L11" i="1" s="1"/>
  <c r="J11" i="1"/>
  <c r="I11" i="1"/>
  <c r="H11" i="1"/>
  <c r="O10" i="1"/>
  <c r="P10" i="1" s="1"/>
  <c r="M10" i="1"/>
  <c r="L10" i="1" s="1"/>
  <c r="J10" i="1"/>
  <c r="I10" i="1"/>
  <c r="H10" i="1"/>
  <c r="O9" i="1"/>
  <c r="P9" i="1" s="1"/>
  <c r="M9" i="1"/>
  <c r="L9" i="1" s="1"/>
  <c r="J9" i="1"/>
  <c r="I9" i="1"/>
  <c r="H9" i="1"/>
  <c r="O8" i="1"/>
  <c r="P8" i="1" s="1"/>
  <c r="M8" i="1"/>
  <c r="L8" i="1" s="1"/>
  <c r="J8" i="1"/>
  <c r="I8" i="1"/>
  <c r="H8" i="1"/>
  <c r="O7" i="1"/>
  <c r="P7" i="1" s="1"/>
  <c r="M7" i="1"/>
  <c r="L7" i="1" s="1"/>
  <c r="J7" i="1"/>
  <c r="I7" i="1"/>
  <c r="H7" i="1"/>
  <c r="O6" i="1"/>
  <c r="P6" i="1" s="1"/>
  <c r="M6" i="1"/>
  <c r="L6" i="1" s="1"/>
  <c r="H31" i="1" l="1"/>
  <c r="P31" i="1"/>
  <c r="I31" i="1"/>
  <c r="F8" i="2"/>
  <c r="M31" i="1"/>
  <c r="L31" i="1" s="1"/>
  <c r="B18" i="1" l="1"/>
  <c r="D18" i="1" s="1"/>
  <c r="B22" i="2" l="1"/>
  <c r="D22" i="2" s="1"/>
  <c r="B20" i="2"/>
  <c r="D20" i="2" s="1"/>
  <c r="B15" i="2"/>
  <c r="D15" i="2" s="1"/>
  <c r="B13" i="2"/>
  <c r="D13" i="2" s="1"/>
  <c r="B9" i="2"/>
  <c r="D9" i="2" s="1"/>
  <c r="E31" i="1"/>
  <c r="B26" i="1"/>
  <c r="D26" i="1" s="1"/>
  <c r="B24" i="1"/>
  <c r="D24" i="1" s="1"/>
  <c r="B23" i="1"/>
  <c r="D23" i="1" s="1"/>
  <c r="B21" i="1"/>
  <c r="D21" i="1" s="1"/>
  <c r="B20" i="1"/>
  <c r="D20" i="1" s="1"/>
  <c r="B19" i="1"/>
  <c r="D19" i="1" s="1"/>
  <c r="B17" i="1"/>
  <c r="D17" i="1" s="1"/>
  <c r="B16" i="1"/>
  <c r="D16" i="1" s="1"/>
  <c r="B15" i="1"/>
  <c r="D15" i="1" s="1"/>
  <c r="B14" i="1"/>
  <c r="D14" i="1" s="1"/>
  <c r="B13" i="1"/>
  <c r="D13" i="1" s="1"/>
  <c r="B11" i="1"/>
  <c r="D11" i="1" s="1"/>
  <c r="B10" i="1"/>
  <c r="D10" i="1" s="1"/>
  <c r="D7" i="1"/>
  <c r="D6" i="1"/>
  <c r="D24" i="2" l="1"/>
  <c r="D27" i="1"/>
  <c r="B24" i="2"/>
  <c r="B31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E27" i="2" l="1"/>
  <c r="F7" i="1"/>
  <c r="F31" i="1" s="1"/>
  <c r="H36" i="1" s="1"/>
</calcChain>
</file>

<file path=xl/comments1.xml><?xml version="1.0" encoding="utf-8"?>
<comments xmlns="http://schemas.openxmlformats.org/spreadsheetml/2006/main">
  <authors>
    <author>Anita Nekić Pavičić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Anita Nekić Pavičić: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<sst xmlns="http://schemas.openxmlformats.org/spreadsheetml/2006/main" count="178" uniqueCount="139">
  <si>
    <t>PRORAČUNSKI KORISNIK</t>
  </si>
  <si>
    <t>IZVOR PRORAČUNA</t>
  </si>
  <si>
    <t>DECENTRALIZACIJA/UKUPNO (KORISNIK+PRIJEVOZ)</t>
  </si>
  <si>
    <t>OŠ Berek</t>
  </si>
  <si>
    <t>OŠ Čazma</t>
  </si>
  <si>
    <t>ČOŠ Jana Amosa Komenskog, Daruvar</t>
  </si>
  <si>
    <t>OŠ Vladimira Nazora, Daruvar</t>
  </si>
  <si>
    <t>OŠ Dežanovac</t>
  </si>
  <si>
    <t>OŠ Đulovac</t>
  </si>
  <si>
    <t>OŠ Garešnica</t>
  </si>
  <si>
    <t>OŠ I.N.Jemeršića, Grubišno Polje</t>
  </si>
  <si>
    <t>OŠ Slavka Kolara, Hercegovac</t>
  </si>
  <si>
    <t>OŠ Ivanska</t>
  </si>
  <si>
    <t>OŠ Mirka Pereša, Kapela</t>
  </si>
  <si>
    <t>ČOŠ J. Ružičke, Končanica</t>
  </si>
  <si>
    <t>OŠ Nova Rača</t>
  </si>
  <si>
    <t>OŠ Rovišće</t>
  </si>
  <si>
    <t>OŠ Štefanje</t>
  </si>
  <si>
    <t>OŠ Trnovitički Popovac</t>
  </si>
  <si>
    <t>OŠ Velika Pisanica</t>
  </si>
  <si>
    <t>OŠ Trnovitica, Velika Trnovitica</t>
  </si>
  <si>
    <t>OŠ Mate Lovraka, Veliki Grđevac</t>
  </si>
  <si>
    <t>OŠ Veliko Trojstvo</t>
  </si>
  <si>
    <t>UKUPNO</t>
  </si>
  <si>
    <t>PRIJEVOZ OŠ DECENTRALIZACIJA/plan na BBŽ</t>
  </si>
  <si>
    <t>Ekonomska i birotehnička škola Bjelovar</t>
  </si>
  <si>
    <t>Glazbena škola V. Lisinskog, Bjelovar</t>
  </si>
  <si>
    <t>Gimnazija Bjelovar</t>
  </si>
  <si>
    <t>Gimnazija Daruvar</t>
  </si>
  <si>
    <t>Obrtnička škola Bjelovar</t>
  </si>
  <si>
    <t>Medicinska škola Bjelovar</t>
  </si>
  <si>
    <t>Komercijalna i trgovačka škola Bjelovar</t>
  </si>
  <si>
    <t>Turističko-ugostiteljska i prehrambena škola Bjelovar</t>
  </si>
  <si>
    <t>Srednja škola Čazma</t>
  </si>
  <si>
    <t>Ekonomska i turistička škola Daruvar</t>
  </si>
  <si>
    <t>Srednja škola A. Šenoa, Garešnica</t>
  </si>
  <si>
    <t>Srednja škola B. Kašića, Grubišno polje</t>
  </si>
  <si>
    <t>Tehnička škola Bjelovar</t>
  </si>
  <si>
    <t>Tehnička škola Daruvar</t>
  </si>
  <si>
    <t>Dom učenika srednjih škola Bjelovar</t>
  </si>
  <si>
    <t>Glazbena škola B. Bjelinskog, Daruvar</t>
  </si>
  <si>
    <t>LIMIT II</t>
  </si>
  <si>
    <t xml:space="preserve">"Osiguranje školske prehrane za djecu u riziku od siromaštva (šk. godina 2017-2018)"-faza II (siječanj-lipanj 2018) </t>
  </si>
  <si>
    <t>Osiguranje prehrane učenika slabijeg imovinskog statusa(siječanj-prosinac 2017)</t>
  </si>
  <si>
    <t>Projekti energetske obnove osnovnih škola</t>
  </si>
  <si>
    <t>Ostali projekti proračunskih korinsika/ukoliko su Vam poznati</t>
  </si>
  <si>
    <t xml:space="preserve">Sredstva EU 
</t>
  </si>
  <si>
    <t>vlastita sredstva korisnika</t>
  </si>
  <si>
    <t>sredstva županije</t>
  </si>
  <si>
    <t>Naziv projekta</t>
  </si>
  <si>
    <t>sredstva korisnika</t>
  </si>
  <si>
    <t>eu sredstva</t>
  </si>
  <si>
    <t>županijska sredstva</t>
  </si>
  <si>
    <t>izvor 467; T000088 PP/PR-pozicije</t>
  </si>
  <si>
    <t>izvor 466: T000092 VP/VR-pozicije</t>
  </si>
  <si>
    <t>Izvor EU 85%</t>
  </si>
  <si>
    <t>Izvor Državni proračun RH 15%</t>
  </si>
  <si>
    <t>izvor 466: T000090 VP/VR-pozicije</t>
  </si>
  <si>
    <t>izvor 11: A000280 PR-pozicije</t>
  </si>
  <si>
    <r>
      <t xml:space="preserve">Ministarstvo graditeljstva       </t>
    </r>
    <r>
      <rPr>
        <sz val="8"/>
        <color rgb="FFFF0000"/>
        <rFont val="Calibri"/>
        <family val="2"/>
        <charset val="238"/>
        <scheme val="minor"/>
      </rPr>
      <t xml:space="preserve"> izvor 466: K000085; VP/VR pozicije</t>
    </r>
  </si>
  <si>
    <t>EFRD</t>
  </si>
  <si>
    <t xml:space="preserve">izvor po izboru korisnika </t>
  </si>
  <si>
    <t>Projekti energetske obnove škola II</t>
  </si>
  <si>
    <t>Pomoćnici BBŽ (siječanj-lipanj 2018)</t>
  </si>
  <si>
    <t>Shema školskog voća(siječanj-lipanj 2018)</t>
  </si>
  <si>
    <t>Prijevoz učenika srednjih škola (na bazi školske godine)</t>
  </si>
  <si>
    <t>Projekti energetske obnove škola</t>
  </si>
  <si>
    <t>sredstva EU</t>
  </si>
  <si>
    <t>sredstva deca - investicijsko</t>
  </si>
  <si>
    <t>izvor 466; T000091</t>
  </si>
  <si>
    <t>planira županija</t>
  </si>
  <si>
    <r>
      <t xml:space="preserve">"Osiguranje školske prehrane za djecu u riziku od siromaštva (šk. godina 2017-2018)"-faza II (siječanj-lipanj 2018) </t>
    </r>
    <r>
      <rPr>
        <sz val="8"/>
        <color rgb="FFFF0000"/>
        <rFont val="Calibri"/>
        <family val="2"/>
        <charset val="238"/>
        <scheme val="minor"/>
      </rPr>
      <t>UKUPNO</t>
    </r>
  </si>
  <si>
    <t>OŠ Sirač</t>
  </si>
  <si>
    <t>SŠ A. Šenoa, Garešnica - Učenički dom</t>
  </si>
  <si>
    <t>ODLUKA VRH-a</t>
  </si>
  <si>
    <t>PROJEKT "Uz potporu sve je moguće, faza III" (siječanj-prosinac 2018) UKUPNO</t>
  </si>
  <si>
    <t xml:space="preserve">PROJEKT "Uz potporu sve je moguće, faza III" (siječanj-prosinac 2018) </t>
  </si>
  <si>
    <t>"Školska shema" šk.god 2018/2019 (rujan-prosinac 2018) UKUPNO</t>
  </si>
  <si>
    <t xml:space="preserve">"Školska shema" šk.god 2018/2019 (rujan-prosinac 2018) </t>
  </si>
  <si>
    <t>Bespovratna sredstva 95%</t>
  </si>
  <si>
    <r>
      <t xml:space="preserve">Sufinanciranje BBŽ 5%              </t>
    </r>
    <r>
      <rPr>
        <sz val="8"/>
        <color rgb="FFFF0000"/>
        <rFont val="Calibri"/>
        <family val="2"/>
        <charset val="238"/>
        <scheme val="minor"/>
      </rPr>
      <t>izvor 11</t>
    </r>
  </si>
  <si>
    <t xml:space="preserve"> T000089</t>
  </si>
  <si>
    <r>
      <t xml:space="preserve">Izvor EU 85%  </t>
    </r>
    <r>
      <rPr>
        <sz val="8"/>
        <color rgb="FFFF0000"/>
        <rFont val="Calibri"/>
        <family val="2"/>
        <charset val="238"/>
        <scheme val="minor"/>
      </rPr>
      <t>izvor 467</t>
    </r>
  </si>
  <si>
    <r>
      <t xml:space="preserve">Izvor RH 15%   </t>
    </r>
    <r>
      <rPr>
        <sz val="8"/>
        <color rgb="FFFF0000"/>
        <rFont val="Calibri"/>
        <family val="2"/>
        <charset val="238"/>
        <scheme val="minor"/>
      </rPr>
      <t>izvor 41</t>
    </r>
  </si>
  <si>
    <r>
      <t xml:space="preserve">PROJEKT "Uz potporu sve je moguće, faza III"(siječanj-prosinac 2018) </t>
    </r>
    <r>
      <rPr>
        <sz val="8"/>
        <color rgb="FFFF0000"/>
        <rFont val="Calibri"/>
        <family val="2"/>
        <charset val="238"/>
        <scheme val="minor"/>
      </rPr>
      <t>UKUPNO</t>
    </r>
  </si>
  <si>
    <t>PROJEKT "Uz potporu sve je moguće faza III"(siječanj-prosinac 2018)</t>
  </si>
  <si>
    <t>"Školski obrok za sve" (rujan-prosinac 2018) UKUPNO</t>
  </si>
  <si>
    <t>"Školski obrok za sve" (rujan-prosinac 2018)</t>
  </si>
  <si>
    <t>"Školska shema" šk.god 2018/2019 (rujan-prosinac 2018)</t>
  </si>
  <si>
    <r>
      <t xml:space="preserve">Sufinanciranje BBŽ 5%  </t>
    </r>
    <r>
      <rPr>
        <sz val="8"/>
        <color rgb="FFFF0000"/>
        <rFont val="Calibri"/>
        <family val="2"/>
        <charset val="238"/>
        <scheme val="minor"/>
      </rPr>
      <t>izvor 11</t>
    </r>
  </si>
  <si>
    <r>
      <t>Izvor EU  85%,</t>
    </r>
    <r>
      <rPr>
        <sz val="8"/>
        <color rgb="FFFF0000"/>
        <rFont val="Calibri"/>
        <family val="2"/>
        <charset val="238"/>
        <scheme val="minor"/>
      </rPr>
      <t xml:space="preserve"> izvor 467; T000088 PP/PR-pozicije</t>
    </r>
  </si>
  <si>
    <t>Izvor EU 75%</t>
  </si>
  <si>
    <t>Izvor RH 25%</t>
  </si>
  <si>
    <t>Shema školskog mlijeka i voća(siječanj-lipanj 2018) UKUPNO</t>
  </si>
  <si>
    <t>GŠ. B. Bjelonskog Daruvar</t>
  </si>
  <si>
    <t>GŠ: Vatroslava Lisinskog Bjelovar</t>
  </si>
  <si>
    <t>DECENTRALIZACIJA POTROŠENO DO 10.10.2018.</t>
  </si>
  <si>
    <t>RASPOLOŽIVO</t>
  </si>
  <si>
    <t>550.371.66</t>
  </si>
  <si>
    <t>ukupno</t>
  </si>
  <si>
    <t>PLAN 2018.</t>
  </si>
  <si>
    <t>REBALANS II 2018.</t>
  </si>
  <si>
    <t>T000103</t>
  </si>
  <si>
    <t>T000102</t>
  </si>
  <si>
    <t>T000101</t>
  </si>
  <si>
    <t>povećanje - potrebe Čazma i Predavac - planira BBŽ</t>
  </si>
  <si>
    <t xml:space="preserve">kapitalna ulaganja </t>
  </si>
  <si>
    <t>DEC UKUPNO</t>
  </si>
  <si>
    <t>kapitalna ulaganja</t>
  </si>
  <si>
    <t>Okvirni limiti rashoda za decentralizirane funkcije u zdravstvu:</t>
  </si>
  <si>
    <t>VRSTA RASHODA</t>
  </si>
  <si>
    <t>TEKUĆE I INVESTICIJSKO ODRŽAVANJE</t>
  </si>
  <si>
    <t>KAPITALNI RASHODI</t>
  </si>
  <si>
    <t>SVEUKUPNO</t>
  </si>
  <si>
    <t>Okvirni limiti rashoda za decentralizirane funkcije u zdravstvu temeljem odluke (naziv i klasa odluke_____:)</t>
  </si>
  <si>
    <t>Plan 2018.</t>
  </si>
  <si>
    <t>ZDRAVSTVENE USTANOVE</t>
  </si>
  <si>
    <t>OPĆA BOLNICA BJELOVAR</t>
  </si>
  <si>
    <t>Tekuće i investicijsko održavanje</t>
  </si>
  <si>
    <t>Kapitalni rashodi</t>
  </si>
  <si>
    <t>Ukupno</t>
  </si>
  <si>
    <t>DOM ZDRAVLJA BJELOVAR</t>
  </si>
  <si>
    <t>ZAVOD ZA HITNU MEDICINU BJELOVARSKO BILOGORSKE ŽUPANIJE</t>
  </si>
  <si>
    <t>ZAVOD ZA JAVNO ZDRAVSTVO BJELOVARSKO BILOGORSKE ŽUPANIJE</t>
  </si>
  <si>
    <t>SPECIJALNA BOLNICA DARUVARSKE TOPLICE</t>
  </si>
  <si>
    <t>Okvirni limiti rashoda za decentralizirane funkcije u socijalnoj skrbi</t>
  </si>
  <si>
    <t>I. REBALANS 2018.</t>
  </si>
  <si>
    <t>A) CENTRI</t>
  </si>
  <si>
    <t>Centar za socijalnu skrb Bjelovar</t>
  </si>
  <si>
    <t>Centar za socijalnu skrb Čazma</t>
  </si>
  <si>
    <t>Centar za socijalnu skrb Daruvar</t>
  </si>
  <si>
    <t>Centar za socijalnu skrb Grubišno Polje</t>
  </si>
  <si>
    <t>Centar za socijalnu skrb Garešnica</t>
  </si>
  <si>
    <t>UKUPNO CENTRI</t>
  </si>
  <si>
    <t>B) OGRIJEV</t>
  </si>
  <si>
    <t>C)DOM ZA STARIJE I NEMOĆNE</t>
  </si>
  <si>
    <t>DECENTRALIZACIJA UKUPNO - LIMIT</t>
  </si>
  <si>
    <t>DECENTRALIZACIJA UKUPNO-LIMIT</t>
  </si>
  <si>
    <r>
      <t>II. REBALANS 2018.</t>
    </r>
    <r>
      <rPr>
        <sz val="11"/>
        <color rgb="FFFF0000"/>
        <rFont val="Calibri"/>
        <family val="2"/>
        <charset val="238"/>
        <scheme val="minor"/>
      </rPr>
      <t>-limit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</si>
</sst>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color theme="3" tint="-0.499984740745262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  <font>
      <i/>
      <sz val="8"/>
      <color theme="3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theme="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i/>
      <sz val="11"/>
      <color rgb="FFFF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u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u/>
      <sz val="11"/>
      <color rgb="FF00B05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9" xfId="0" applyFont="1" applyBorder="1" applyAlignment="1">
      <alignment horizontal="left" vertical="center" wrapText="1"/>
    </xf>
    <xf numFmtId="4" fontId="1" fillId="0" borderId="6" xfId="0" applyNumberFormat="1" applyFont="1" applyBorder="1"/>
    <xf numFmtId="0" fontId="1" fillId="2" borderId="6" xfId="0" applyFont="1" applyFill="1" applyBorder="1" applyAlignment="1">
      <alignment wrapText="1"/>
    </xf>
    <xf numFmtId="0" fontId="4" fillId="0" borderId="9" xfId="0" applyFont="1" applyBorder="1" applyAlignment="1">
      <alignment horizontal="justify" vertical="center"/>
    </xf>
    <xf numFmtId="4" fontId="1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6" fillId="0" borderId="0" xfId="0" applyFont="1"/>
    <xf numFmtId="0" fontId="12" fillId="2" borderId="0" xfId="0" applyFont="1" applyFill="1"/>
    <xf numFmtId="0" fontId="6" fillId="0" borderId="0" xfId="0" applyFont="1" applyBorder="1"/>
    <xf numFmtId="4" fontId="1" fillId="0" borderId="9" xfId="0" applyNumberFormat="1" applyFont="1" applyBorder="1"/>
    <xf numFmtId="0" fontId="6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 vertical="center"/>
    </xf>
    <xf numFmtId="4" fontId="8" fillId="0" borderId="9" xfId="0" applyNumberFormat="1" applyFont="1" applyBorder="1"/>
    <xf numFmtId="2" fontId="1" fillId="0" borderId="9" xfId="0" applyNumberFormat="1" applyFont="1" applyBorder="1"/>
    <xf numFmtId="0" fontId="3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wrapText="1"/>
    </xf>
    <xf numFmtId="4" fontId="5" fillId="0" borderId="0" xfId="0" applyNumberFormat="1" applyFont="1" applyBorder="1"/>
    <xf numFmtId="4" fontId="8" fillId="0" borderId="0" xfId="0" applyNumberFormat="1" applyFont="1" applyBorder="1"/>
    <xf numFmtId="4" fontId="1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0" fontId="4" fillId="0" borderId="9" xfId="0" applyFont="1" applyFill="1" applyBorder="1" applyAlignment="1">
      <alignment horizontal="justify" vertical="center"/>
    </xf>
    <xf numFmtId="4" fontId="0" fillId="0" borderId="9" xfId="0" applyNumberFormat="1" applyBorder="1"/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/>
    <xf numFmtId="4" fontId="17" fillId="0" borderId="0" xfId="0" applyNumberFormat="1" applyFont="1"/>
    <xf numFmtId="0" fontId="15" fillId="3" borderId="9" xfId="0" applyFont="1" applyFill="1" applyBorder="1" applyAlignment="1">
      <alignment horizontal="right" wrapText="1"/>
    </xf>
    <xf numFmtId="4" fontId="8" fillId="0" borderId="9" xfId="0" applyNumberFormat="1" applyFont="1" applyBorder="1" applyAlignment="1">
      <alignment horizontal="right"/>
    </xf>
    <xf numFmtId="2" fontId="3" fillId="2" borderId="9" xfId="0" applyNumberFormat="1" applyFont="1" applyFill="1" applyBorder="1" applyAlignment="1">
      <alignment horizontal="center" vertical="center" wrapText="1"/>
    </xf>
    <xf numFmtId="9" fontId="3" fillId="2" borderId="9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4" fontId="5" fillId="0" borderId="12" xfId="0" applyNumberFormat="1" applyFont="1" applyBorder="1" applyAlignment="1">
      <alignment horizontal="right" vertical="center"/>
    </xf>
    <xf numFmtId="4" fontId="16" fillId="0" borderId="1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4" fontId="5" fillId="0" borderId="13" xfId="0" applyNumberFormat="1" applyFont="1" applyBorder="1"/>
    <xf numFmtId="4" fontId="8" fillId="0" borderId="13" xfId="0" applyNumberFormat="1" applyFont="1" applyBorder="1"/>
    <xf numFmtId="4" fontId="1" fillId="0" borderId="13" xfId="0" applyNumberFormat="1" applyFont="1" applyBorder="1"/>
    <xf numFmtId="0" fontId="4" fillId="0" borderId="13" xfId="0" applyFont="1" applyBorder="1" applyAlignment="1">
      <alignment horizontal="left" vertical="center" wrapText="1"/>
    </xf>
    <xf numFmtId="9" fontId="3" fillId="2" borderId="6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" fontId="1" fillId="0" borderId="4" xfId="0" applyNumberFormat="1" applyFont="1" applyBorder="1"/>
    <xf numFmtId="4" fontId="8" fillId="0" borderId="4" xfId="0" applyNumberFormat="1" applyFont="1" applyBorder="1"/>
    <xf numFmtId="0" fontId="18" fillId="0" borderId="9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4" fontId="19" fillId="0" borderId="6" xfId="0" applyNumberFormat="1" applyFont="1" applyBorder="1"/>
    <xf numFmtId="0" fontId="3" fillId="2" borderId="8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center" vertical="top" wrapText="1"/>
    </xf>
    <xf numFmtId="4" fontId="2" fillId="0" borderId="0" xfId="0" applyNumberFormat="1" applyFont="1"/>
    <xf numFmtId="4" fontId="1" fillId="0" borderId="0" xfId="0" applyNumberFormat="1" applyFont="1" applyBorder="1"/>
    <xf numFmtId="4" fontId="20" fillId="0" borderId="0" xfId="0" applyNumberFormat="1" applyFont="1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4" fontId="2" fillId="0" borderId="4" xfId="0" applyNumberFormat="1" applyFont="1" applyBorder="1"/>
    <xf numFmtId="0" fontId="21" fillId="0" borderId="0" xfId="0" applyFont="1" applyAlignment="1">
      <alignment wrapText="1"/>
    </xf>
    <xf numFmtId="4" fontId="22" fillId="0" borderId="0" xfId="0" applyNumberFormat="1" applyFont="1"/>
    <xf numFmtId="0" fontId="25" fillId="0" borderId="0" xfId="0" applyFont="1" applyAlignment="1">
      <alignment horizontal="justify" vertical="center"/>
    </xf>
    <xf numFmtId="0" fontId="0" fillId="0" borderId="0" xfId="0" applyFont="1"/>
    <xf numFmtId="0" fontId="27" fillId="6" borderId="9" xfId="0" applyFont="1" applyFill="1" applyBorder="1" applyAlignment="1">
      <alignment horizontal="left" vertical="center" wrapText="1"/>
    </xf>
    <xf numFmtId="0" fontId="27" fillId="6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0" fontId="28" fillId="0" borderId="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justify" vertical="center"/>
    </xf>
    <xf numFmtId="0" fontId="29" fillId="2" borderId="9" xfId="0" applyFont="1" applyFill="1" applyBorder="1" applyAlignment="1">
      <alignment horizontal="left" vertical="center" wrapText="1"/>
    </xf>
    <xf numFmtId="4" fontId="30" fillId="0" borderId="9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justify" vertical="center" wrapText="1"/>
    </xf>
    <xf numFmtId="0" fontId="27" fillId="2" borderId="9" xfId="0" applyFont="1" applyFill="1" applyBorder="1" applyAlignment="1">
      <alignment horizontal="justify" vertical="center" wrapText="1"/>
    </xf>
    <xf numFmtId="4" fontId="27" fillId="2" borderId="9" xfId="0" applyNumberFormat="1" applyFont="1" applyFill="1" applyBorder="1" applyAlignment="1">
      <alignment horizontal="right" vertical="center"/>
    </xf>
    <xf numFmtId="0" fontId="24" fillId="0" borderId="9" xfId="0" applyFont="1" applyBorder="1" applyAlignment="1">
      <alignment horizontal="justify" vertical="center" wrapText="1"/>
    </xf>
    <xf numFmtId="0" fontId="30" fillId="0" borderId="9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1" fillId="0" borderId="0" xfId="0" applyNumberFormat="1" applyFont="1"/>
    <xf numFmtId="4" fontId="34" fillId="0" borderId="0" xfId="0" applyNumberFormat="1" applyFont="1"/>
    <xf numFmtId="0" fontId="35" fillId="0" borderId="0" xfId="0" applyFont="1"/>
    <xf numFmtId="4" fontId="35" fillId="0" borderId="0" xfId="0" applyNumberFormat="1" applyFont="1"/>
    <xf numFmtId="0" fontId="31" fillId="0" borderId="0" xfId="0" applyFont="1"/>
    <xf numFmtId="4" fontId="31" fillId="0" borderId="0" xfId="0" applyNumberFormat="1" applyFont="1"/>
    <xf numFmtId="4" fontId="36" fillId="0" borderId="0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0" borderId="9" xfId="0" applyFont="1" applyBorder="1" applyAlignment="1"/>
    <xf numFmtId="0" fontId="6" fillId="2" borderId="2" xfId="0" applyFont="1" applyFill="1" applyBorder="1" applyAlignment="1">
      <alignment horizontal="center" wrapText="1"/>
    </xf>
    <xf numFmtId="0" fontId="0" fillId="0" borderId="11" xfId="0" applyBorder="1" applyAlignment="1">
      <alignment vertical="center"/>
    </xf>
    <xf numFmtId="0" fontId="23" fillId="0" borderId="0" xfId="0" applyFont="1" applyAlignment="1"/>
    <xf numFmtId="0" fontId="33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6" fillId="2" borderId="0" xfId="0" applyFont="1" applyFill="1" applyAlignment="1">
      <alignment horizontal="justify" vertical="center"/>
    </xf>
    <xf numFmtId="0" fontId="24" fillId="2" borderId="0" xfId="0" applyFont="1" applyFill="1" applyAlignment="1"/>
    <xf numFmtId="0" fontId="27" fillId="5" borderId="9" xfId="0" applyFont="1" applyFill="1" applyBorder="1" applyAlignment="1">
      <alignment horizontal="justify" vertical="center" wrapText="1"/>
    </xf>
    <xf numFmtId="0" fontId="27" fillId="5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justify" vertical="center" wrapText="1"/>
    </xf>
    <xf numFmtId="4" fontId="27" fillId="0" borderId="9" xfId="0" applyNumberFormat="1" applyFont="1" applyBorder="1" applyAlignment="1">
      <alignment horizontal="right" vertical="center"/>
    </xf>
    <xf numFmtId="4" fontId="27" fillId="0" borderId="4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7" fillId="5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view="pageBreakPreview" zoomScale="60" zoomScaleNormal="80" workbookViewId="0">
      <selection activeCell="E3" sqref="E3"/>
    </sheetView>
  </sheetViews>
  <sheetFormatPr defaultRowHeight="15" x14ac:dyDescent="0.25"/>
  <cols>
    <col min="1" max="1" width="17" customWidth="1"/>
    <col min="2" max="2" width="16.42578125" customWidth="1"/>
    <col min="3" max="3" width="11.85546875" customWidth="1"/>
    <col min="4" max="4" width="12.85546875" customWidth="1"/>
    <col min="5" max="5" width="12.5703125" customWidth="1"/>
    <col min="6" max="6" width="12.85546875" customWidth="1"/>
    <col min="7" max="7" width="13.5703125" customWidth="1"/>
    <col min="8" max="8" width="14.7109375" customWidth="1"/>
    <col min="9" max="9" width="11.85546875" customWidth="1"/>
    <col min="10" max="10" width="11.5703125" customWidth="1"/>
    <col min="11" max="11" width="12.140625" customWidth="1"/>
    <col min="12" max="12" width="11" customWidth="1"/>
    <col min="13" max="13" width="9.85546875" customWidth="1"/>
    <col min="14" max="14" width="11.140625" customWidth="1"/>
    <col min="15" max="15" width="11.42578125" customWidth="1"/>
    <col min="16" max="17" width="10.42578125" customWidth="1"/>
    <col min="18" max="18" width="10.7109375" customWidth="1"/>
    <col min="19" max="19" width="10.140625" customWidth="1"/>
    <col min="20" max="20" width="10" customWidth="1"/>
    <col min="21" max="21" width="10.140625" customWidth="1"/>
    <col min="22" max="22" width="11.7109375" customWidth="1"/>
    <col min="23" max="23" width="11.5703125" customWidth="1"/>
    <col min="24" max="24" width="9.85546875" customWidth="1"/>
    <col min="25" max="25" width="10.28515625" customWidth="1"/>
    <col min="26" max="26" width="12.140625" customWidth="1"/>
    <col min="27" max="27" width="7.28515625" customWidth="1"/>
    <col min="28" max="28" width="10.140625" customWidth="1"/>
    <col min="29" max="29" width="7.7109375" customWidth="1"/>
    <col min="30" max="30" width="9.42578125" customWidth="1"/>
    <col min="31" max="31" width="12.5703125" customWidth="1"/>
    <col min="33" max="33" width="12.5703125" customWidth="1"/>
  </cols>
  <sheetData>
    <row r="1" spans="1:33" ht="14.45" x14ac:dyDescent="0.3">
      <c r="A1" s="16" t="s">
        <v>101</v>
      </c>
      <c r="B1" s="16"/>
      <c r="C1" s="16"/>
      <c r="D1" s="16"/>
      <c r="E1" s="15"/>
      <c r="F1" s="15"/>
      <c r="G1" s="15"/>
      <c r="H1" s="27"/>
      <c r="I1" s="27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37.15" customHeight="1" x14ac:dyDescent="0.25">
      <c r="A2" s="17"/>
      <c r="B2" s="17"/>
      <c r="C2" s="17"/>
      <c r="D2" s="17"/>
      <c r="E2" s="100" t="s">
        <v>24</v>
      </c>
      <c r="F2" s="59"/>
      <c r="G2" s="59"/>
      <c r="H2" s="100"/>
      <c r="I2" s="35"/>
      <c r="J2" s="110" t="s">
        <v>41</v>
      </c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  <c r="Z2" s="112"/>
      <c r="AA2" s="112"/>
      <c r="AB2" s="112"/>
      <c r="AC2" s="112"/>
      <c r="AD2" s="112"/>
      <c r="AE2" s="112"/>
      <c r="AF2" s="112"/>
      <c r="AG2" s="113"/>
    </row>
    <row r="3" spans="1:33" ht="37.15" customHeight="1" x14ac:dyDescent="0.25">
      <c r="A3" s="117" t="s">
        <v>0</v>
      </c>
      <c r="B3" s="133" t="s">
        <v>136</v>
      </c>
      <c r="C3" s="100"/>
      <c r="D3" s="100"/>
      <c r="E3" s="101"/>
      <c r="F3" s="143" t="s">
        <v>2</v>
      </c>
      <c r="G3" s="117" t="s">
        <v>84</v>
      </c>
      <c r="H3" s="114" t="s">
        <v>85</v>
      </c>
      <c r="I3" s="115"/>
      <c r="J3" s="116"/>
      <c r="K3" s="117" t="s">
        <v>71</v>
      </c>
      <c r="L3" s="137" t="s">
        <v>42</v>
      </c>
      <c r="M3" s="138"/>
      <c r="N3" s="117" t="s">
        <v>86</v>
      </c>
      <c r="O3" s="137" t="s">
        <v>87</v>
      </c>
      <c r="P3" s="138"/>
      <c r="Q3" s="117" t="s">
        <v>93</v>
      </c>
      <c r="R3" s="141" t="s">
        <v>88</v>
      </c>
      <c r="S3" s="119" t="s">
        <v>88</v>
      </c>
      <c r="T3" s="120"/>
      <c r="U3" s="117" t="s">
        <v>43</v>
      </c>
      <c r="V3" s="129" t="s">
        <v>44</v>
      </c>
      <c r="W3" s="130"/>
      <c r="X3" s="130"/>
      <c r="Y3" s="131"/>
      <c r="Z3" s="132"/>
      <c r="AA3" s="123" t="s">
        <v>45</v>
      </c>
      <c r="AB3" s="124"/>
      <c r="AC3" s="124"/>
      <c r="AD3" s="125"/>
    </row>
    <row r="4" spans="1:33" ht="49.15" customHeight="1" x14ac:dyDescent="0.25">
      <c r="A4" s="135"/>
      <c r="B4" s="134"/>
      <c r="C4" s="65" t="s">
        <v>96</v>
      </c>
      <c r="D4" s="65" t="s">
        <v>97</v>
      </c>
      <c r="E4" s="101"/>
      <c r="F4" s="143"/>
      <c r="G4" s="118"/>
      <c r="H4" s="126" t="s">
        <v>79</v>
      </c>
      <c r="I4" s="127"/>
      <c r="J4" s="117" t="s">
        <v>89</v>
      </c>
      <c r="K4" s="118"/>
      <c r="L4" s="139"/>
      <c r="M4" s="140"/>
      <c r="N4" s="128"/>
      <c r="O4" s="139"/>
      <c r="P4" s="140"/>
      <c r="Q4" s="118"/>
      <c r="R4" s="142"/>
      <c r="S4" s="121"/>
      <c r="T4" s="122"/>
      <c r="U4" s="118"/>
      <c r="V4" s="123" t="s">
        <v>46</v>
      </c>
      <c r="W4" s="136"/>
      <c r="X4" s="9" t="s">
        <v>47</v>
      </c>
      <c r="Y4" s="9" t="s">
        <v>48</v>
      </c>
      <c r="Z4" s="9" t="s">
        <v>99</v>
      </c>
      <c r="AA4" s="9" t="s">
        <v>49</v>
      </c>
      <c r="AB4" s="9" t="s">
        <v>50</v>
      </c>
      <c r="AC4" s="9" t="s">
        <v>51</v>
      </c>
      <c r="AD4" s="9" t="s">
        <v>52</v>
      </c>
    </row>
    <row r="5" spans="1:33" ht="42.6" customHeight="1" x14ac:dyDescent="0.25">
      <c r="A5" s="12" t="s">
        <v>1</v>
      </c>
      <c r="B5" s="102"/>
      <c r="C5" s="60"/>
      <c r="D5" s="60"/>
      <c r="E5" s="102"/>
      <c r="F5" s="144"/>
      <c r="G5" s="13" t="s">
        <v>53</v>
      </c>
      <c r="H5" s="19" t="s">
        <v>90</v>
      </c>
      <c r="I5" s="19" t="s">
        <v>83</v>
      </c>
      <c r="J5" s="128"/>
      <c r="K5" s="13" t="s">
        <v>54</v>
      </c>
      <c r="L5" s="28" t="s">
        <v>55</v>
      </c>
      <c r="M5" s="28" t="s">
        <v>56</v>
      </c>
      <c r="N5" s="75" t="s">
        <v>104</v>
      </c>
      <c r="O5" s="28" t="s">
        <v>55</v>
      </c>
      <c r="P5" s="28" t="s">
        <v>56</v>
      </c>
      <c r="Q5" s="13" t="s">
        <v>57</v>
      </c>
      <c r="R5" s="13" t="s">
        <v>103</v>
      </c>
      <c r="S5" s="58" t="s">
        <v>91</v>
      </c>
      <c r="T5" s="58" t="s">
        <v>92</v>
      </c>
      <c r="U5" s="13" t="s">
        <v>58</v>
      </c>
      <c r="V5" s="9" t="s">
        <v>59</v>
      </c>
      <c r="W5" s="9" t="s">
        <v>60</v>
      </c>
      <c r="X5" s="14" t="s">
        <v>61</v>
      </c>
      <c r="Y5" s="9"/>
      <c r="Z5" s="9"/>
      <c r="AA5" s="9"/>
      <c r="AB5" s="9" t="s">
        <v>62</v>
      </c>
      <c r="AC5" s="9"/>
      <c r="AD5" s="9" t="s">
        <v>63</v>
      </c>
    </row>
    <row r="6" spans="1:33" x14ac:dyDescent="0.25">
      <c r="A6" s="1" t="s">
        <v>3</v>
      </c>
      <c r="B6" s="2">
        <f>240000+35000</f>
        <v>275000</v>
      </c>
      <c r="C6" s="2">
        <v>163016.26</v>
      </c>
      <c r="D6" s="2">
        <f>B6-C6</f>
        <v>111983.73999999999</v>
      </c>
      <c r="E6" s="2">
        <v>0</v>
      </c>
      <c r="F6" s="2">
        <f t="shared" ref="F6:F26" si="0">B6+E6</f>
        <v>275000</v>
      </c>
      <c r="G6" s="18">
        <v>0</v>
      </c>
      <c r="H6" s="18">
        <v>0</v>
      </c>
      <c r="I6" s="18">
        <v>0</v>
      </c>
      <c r="J6" s="18">
        <v>0</v>
      </c>
      <c r="K6" s="18">
        <v>24308.68</v>
      </c>
      <c r="L6" s="18">
        <f>K6-M6</f>
        <v>20662.378000000001</v>
      </c>
      <c r="M6" s="18">
        <f>K6*15%</f>
        <v>3646.3020000000001</v>
      </c>
      <c r="N6" s="18">
        <v>23500</v>
      </c>
      <c r="O6" s="18">
        <f>N6*85%</f>
        <v>19975</v>
      </c>
      <c r="P6" s="18">
        <f>N6-O6</f>
        <v>3525</v>
      </c>
      <c r="Q6" s="18">
        <v>3650</v>
      </c>
      <c r="R6" s="18">
        <v>3650</v>
      </c>
      <c r="S6" s="18">
        <f>R6*75%</f>
        <v>2737.5</v>
      </c>
      <c r="T6" s="18">
        <f>R6*25%</f>
        <v>912.5</v>
      </c>
      <c r="U6" s="18">
        <v>860</v>
      </c>
      <c r="V6" s="18"/>
      <c r="W6" s="18"/>
      <c r="X6" s="18"/>
      <c r="Y6" s="18"/>
      <c r="Z6" s="18">
        <f>V6+W6+X6+Y6</f>
        <v>0</v>
      </c>
      <c r="AA6" s="45"/>
      <c r="AB6" s="45"/>
      <c r="AC6" s="45"/>
      <c r="AD6" s="45"/>
    </row>
    <row r="7" spans="1:33" x14ac:dyDescent="0.25">
      <c r="A7" s="1" t="s">
        <v>4</v>
      </c>
      <c r="B7" s="18">
        <f>600000+40000</f>
        <v>640000</v>
      </c>
      <c r="C7" s="18">
        <v>496303.27</v>
      </c>
      <c r="D7" s="18">
        <f>B7-C7</f>
        <v>143696.72999999998</v>
      </c>
      <c r="E7" s="18">
        <v>1019250</v>
      </c>
      <c r="F7" s="18">
        <f t="shared" si="0"/>
        <v>1659250</v>
      </c>
      <c r="G7" s="18">
        <v>124300</v>
      </c>
      <c r="H7" s="25">
        <f>(G7*95%)*85%</f>
        <v>100372.25</v>
      </c>
      <c r="I7" s="25">
        <f>(G7*95%)*15%</f>
        <v>17712.75</v>
      </c>
      <c r="J7" s="25">
        <f t="shared" ref="J7:J31" si="1">G7*5%</f>
        <v>6215</v>
      </c>
      <c r="K7" s="18">
        <v>46960</v>
      </c>
      <c r="L7" s="18">
        <f t="shared" ref="L7:L31" si="2">K7-M7</f>
        <v>39916</v>
      </c>
      <c r="M7" s="18">
        <f t="shared" ref="M7:M31" si="3">K7*15%</f>
        <v>7044</v>
      </c>
      <c r="N7" s="18">
        <v>29900</v>
      </c>
      <c r="O7" s="18">
        <f t="shared" ref="O7:O31" si="4">N7*85%</f>
        <v>25415</v>
      </c>
      <c r="P7" s="18">
        <f t="shared" ref="P7:P31" si="5">N7-O7</f>
        <v>4485</v>
      </c>
      <c r="Q7" s="18">
        <v>23500</v>
      </c>
      <c r="R7" s="18">
        <v>23500</v>
      </c>
      <c r="S7" s="18">
        <f t="shared" ref="S7:S26" si="6">R7*75%</f>
        <v>17625</v>
      </c>
      <c r="T7" s="18">
        <f t="shared" ref="T7:T26" si="7">R7*25%</f>
        <v>5875</v>
      </c>
      <c r="U7" s="18">
        <v>5980</v>
      </c>
      <c r="V7" s="18"/>
      <c r="W7" s="18"/>
      <c r="X7" s="18"/>
      <c r="Y7" s="18"/>
      <c r="Z7" s="18">
        <f>V7+W7+X7+Y7</f>
        <v>0</v>
      </c>
      <c r="AA7" s="18"/>
      <c r="AB7" s="18"/>
      <c r="AC7" s="18"/>
      <c r="AD7" s="18">
        <v>57500</v>
      </c>
    </row>
    <row r="8" spans="1:33" ht="28.9" customHeight="1" x14ac:dyDescent="0.25">
      <c r="A8" s="1" t="s">
        <v>5</v>
      </c>
      <c r="B8" s="2">
        <v>450000</v>
      </c>
      <c r="C8" s="2">
        <v>273353.77</v>
      </c>
      <c r="D8" s="2">
        <f>B8-C8</f>
        <v>176646.22999999998</v>
      </c>
      <c r="E8" s="2">
        <v>209250</v>
      </c>
      <c r="F8" s="2">
        <f t="shared" si="0"/>
        <v>659250</v>
      </c>
      <c r="G8" s="18">
        <v>84200</v>
      </c>
      <c r="H8" s="25">
        <f t="shared" ref="H8:H26" si="8">(G8*95%)*85%</f>
        <v>67991.5</v>
      </c>
      <c r="I8" s="25">
        <f t="shared" ref="I8:I26" si="9">(G8*95%)*15%</f>
        <v>11998.5</v>
      </c>
      <c r="J8" s="25">
        <f t="shared" si="1"/>
        <v>4210</v>
      </c>
      <c r="K8" s="18">
        <v>30940</v>
      </c>
      <c r="L8" s="18">
        <f t="shared" si="2"/>
        <v>26299</v>
      </c>
      <c r="M8" s="18">
        <f t="shared" si="3"/>
        <v>4641</v>
      </c>
      <c r="N8" s="18">
        <v>26000</v>
      </c>
      <c r="O8" s="18">
        <f t="shared" si="4"/>
        <v>22100</v>
      </c>
      <c r="P8" s="18">
        <f t="shared" si="5"/>
        <v>3900</v>
      </c>
      <c r="Q8" s="18">
        <v>11700</v>
      </c>
      <c r="R8" s="18">
        <v>11700</v>
      </c>
      <c r="S8" s="18">
        <f t="shared" si="6"/>
        <v>8775</v>
      </c>
      <c r="T8" s="18">
        <f t="shared" si="7"/>
        <v>2925</v>
      </c>
      <c r="U8" s="18">
        <v>0</v>
      </c>
      <c r="V8" s="18"/>
      <c r="W8" s="18"/>
      <c r="X8" s="18"/>
      <c r="Y8" s="18"/>
      <c r="Z8" s="18">
        <f>V8+W8+Y8</f>
        <v>0</v>
      </c>
      <c r="AA8" s="18"/>
      <c r="AB8" s="18"/>
      <c r="AC8" s="18"/>
      <c r="AD8" s="18">
        <v>25000</v>
      </c>
    </row>
    <row r="9" spans="1:33" ht="27" customHeight="1" x14ac:dyDescent="0.25">
      <c r="A9" s="1" t="s">
        <v>6</v>
      </c>
      <c r="B9" s="18">
        <v>857917</v>
      </c>
      <c r="C9" s="18">
        <v>440082.1</v>
      </c>
      <c r="D9" s="2">
        <f t="shared" ref="D9:D26" si="10">B9-C9</f>
        <v>417834.9</v>
      </c>
      <c r="E9" s="18">
        <v>369000</v>
      </c>
      <c r="F9" s="18">
        <f t="shared" si="0"/>
        <v>1226917</v>
      </c>
      <c r="G9" s="18">
        <v>75100</v>
      </c>
      <c r="H9" s="25">
        <f t="shared" si="8"/>
        <v>60643.25</v>
      </c>
      <c r="I9" s="25">
        <f t="shared" si="9"/>
        <v>10701.75</v>
      </c>
      <c r="J9" s="25">
        <f t="shared" si="1"/>
        <v>3755</v>
      </c>
      <c r="K9" s="18">
        <v>51380</v>
      </c>
      <c r="L9" s="18">
        <f t="shared" si="2"/>
        <v>43673</v>
      </c>
      <c r="M9" s="18">
        <f t="shared" si="3"/>
        <v>7707</v>
      </c>
      <c r="N9" s="18">
        <v>42700</v>
      </c>
      <c r="O9" s="18">
        <f t="shared" si="4"/>
        <v>36295</v>
      </c>
      <c r="P9" s="18">
        <f t="shared" si="5"/>
        <v>6405</v>
      </c>
      <c r="Q9" s="18">
        <v>22000</v>
      </c>
      <c r="R9" s="18">
        <v>22000</v>
      </c>
      <c r="S9" s="18">
        <f t="shared" si="6"/>
        <v>16500</v>
      </c>
      <c r="T9" s="18">
        <f t="shared" si="7"/>
        <v>5500</v>
      </c>
      <c r="U9" s="18">
        <v>2150</v>
      </c>
      <c r="V9" s="18"/>
      <c r="W9" s="18"/>
      <c r="X9" s="18"/>
      <c r="Y9" s="18"/>
      <c r="Z9" s="18">
        <f t="shared" ref="Z9:Z10" si="11">V9+W9+X9+Y9</f>
        <v>0</v>
      </c>
      <c r="AA9" s="18"/>
      <c r="AB9" s="18"/>
      <c r="AC9" s="18"/>
      <c r="AD9" s="18">
        <v>67300</v>
      </c>
    </row>
    <row r="10" spans="1:33" ht="20.45" customHeight="1" x14ac:dyDescent="0.25">
      <c r="A10" s="1" t="s">
        <v>7</v>
      </c>
      <c r="B10" s="2">
        <f>280000+17000</f>
        <v>297000</v>
      </c>
      <c r="C10" s="2">
        <v>175685.35</v>
      </c>
      <c r="D10" s="18">
        <f t="shared" si="10"/>
        <v>121314.65</v>
      </c>
      <c r="E10" s="2">
        <v>297000</v>
      </c>
      <c r="F10" s="2">
        <f t="shared" si="0"/>
        <v>594000</v>
      </c>
      <c r="G10" s="18">
        <v>0</v>
      </c>
      <c r="H10" s="25">
        <f t="shared" si="8"/>
        <v>0</v>
      </c>
      <c r="I10" s="25">
        <f t="shared" si="9"/>
        <v>0</v>
      </c>
      <c r="J10" s="25">
        <f t="shared" si="1"/>
        <v>0</v>
      </c>
      <c r="K10" s="18">
        <v>24870</v>
      </c>
      <c r="L10" s="18">
        <f t="shared" si="2"/>
        <v>21139.5</v>
      </c>
      <c r="M10" s="18">
        <f t="shared" si="3"/>
        <v>3730.5</v>
      </c>
      <c r="N10" s="18">
        <v>19200</v>
      </c>
      <c r="O10" s="18">
        <f t="shared" si="4"/>
        <v>16320</v>
      </c>
      <c r="P10" s="18">
        <f t="shared" si="5"/>
        <v>2880</v>
      </c>
      <c r="Q10" s="18">
        <v>4000</v>
      </c>
      <c r="R10" s="18">
        <v>4000</v>
      </c>
      <c r="S10" s="18">
        <f t="shared" si="6"/>
        <v>3000</v>
      </c>
      <c r="T10" s="18">
        <f t="shared" si="7"/>
        <v>1000</v>
      </c>
      <c r="U10" s="18">
        <v>0</v>
      </c>
      <c r="V10" s="18"/>
      <c r="W10" s="18"/>
      <c r="X10" s="18"/>
      <c r="Y10" s="18"/>
      <c r="Z10" s="18">
        <f t="shared" si="11"/>
        <v>0</v>
      </c>
      <c r="AA10" s="18"/>
      <c r="AB10" s="18">
        <v>100000</v>
      </c>
      <c r="AC10" s="18"/>
      <c r="AD10" s="18"/>
    </row>
    <row r="11" spans="1:33" ht="16.149999999999999" customHeight="1" x14ac:dyDescent="0.25">
      <c r="A11" s="1" t="s">
        <v>8</v>
      </c>
      <c r="B11" s="18">
        <f>470000+26100</f>
        <v>496100</v>
      </c>
      <c r="C11" s="18">
        <v>310495.32</v>
      </c>
      <c r="D11" s="2">
        <f t="shared" si="10"/>
        <v>185604.68</v>
      </c>
      <c r="E11" s="18">
        <v>297000</v>
      </c>
      <c r="F11" s="2">
        <f t="shared" si="0"/>
        <v>793100</v>
      </c>
      <c r="G11" s="18">
        <v>94900</v>
      </c>
      <c r="H11" s="25">
        <f t="shared" si="8"/>
        <v>76631.75</v>
      </c>
      <c r="I11" s="25">
        <f t="shared" si="9"/>
        <v>13523.25</v>
      </c>
      <c r="J11" s="25">
        <f t="shared" si="1"/>
        <v>4745</v>
      </c>
      <c r="K11" s="18">
        <v>36470</v>
      </c>
      <c r="L11" s="18">
        <f t="shared" si="2"/>
        <v>30999.5</v>
      </c>
      <c r="M11" s="18">
        <f t="shared" si="3"/>
        <v>5470.5</v>
      </c>
      <c r="N11" s="18">
        <v>69100</v>
      </c>
      <c r="O11" s="18">
        <f t="shared" si="4"/>
        <v>58735</v>
      </c>
      <c r="P11" s="18">
        <f t="shared" si="5"/>
        <v>10365</v>
      </c>
      <c r="Q11" s="18">
        <v>6500</v>
      </c>
      <c r="R11" s="18">
        <v>6500</v>
      </c>
      <c r="S11" s="18">
        <f t="shared" si="6"/>
        <v>4875</v>
      </c>
      <c r="T11" s="18">
        <f t="shared" si="7"/>
        <v>1625</v>
      </c>
      <c r="U11" s="18">
        <v>0</v>
      </c>
      <c r="V11" s="18"/>
      <c r="W11" s="18"/>
      <c r="X11" s="18"/>
      <c r="Y11" s="18"/>
      <c r="Z11" s="18">
        <f t="shared" ref="Z11" si="12">V11+W11+Y11</f>
        <v>0</v>
      </c>
      <c r="AA11" s="18"/>
      <c r="AB11" s="18"/>
      <c r="AC11" s="18"/>
      <c r="AD11" s="18"/>
    </row>
    <row r="12" spans="1:33" ht="17.45" customHeight="1" x14ac:dyDescent="0.25">
      <c r="A12" s="1" t="s">
        <v>9</v>
      </c>
      <c r="B12" s="2">
        <v>690000</v>
      </c>
      <c r="C12" s="2">
        <v>409715.64</v>
      </c>
      <c r="D12" s="2">
        <f t="shared" si="10"/>
        <v>280284.36</v>
      </c>
      <c r="E12" s="2">
        <v>1053000</v>
      </c>
      <c r="F12" s="18">
        <f t="shared" si="0"/>
        <v>1743000</v>
      </c>
      <c r="G12" s="18">
        <v>184900</v>
      </c>
      <c r="H12" s="25">
        <f t="shared" si="8"/>
        <v>149306.75</v>
      </c>
      <c r="I12" s="25">
        <f t="shared" si="9"/>
        <v>26348.25</v>
      </c>
      <c r="J12" s="25">
        <f t="shared" si="1"/>
        <v>9245</v>
      </c>
      <c r="K12" s="18">
        <v>46960</v>
      </c>
      <c r="L12" s="18">
        <f t="shared" si="2"/>
        <v>39916</v>
      </c>
      <c r="M12" s="18">
        <f t="shared" si="3"/>
        <v>7044</v>
      </c>
      <c r="N12" s="18">
        <v>32000</v>
      </c>
      <c r="O12" s="18">
        <f t="shared" si="4"/>
        <v>27200</v>
      </c>
      <c r="P12" s="18">
        <f t="shared" si="5"/>
        <v>4800</v>
      </c>
      <c r="Q12" s="18">
        <v>21000</v>
      </c>
      <c r="R12" s="18">
        <v>21000</v>
      </c>
      <c r="S12" s="18">
        <f t="shared" si="6"/>
        <v>15750</v>
      </c>
      <c r="T12" s="18">
        <f t="shared" si="7"/>
        <v>5250</v>
      </c>
      <c r="U12" s="18">
        <v>2150</v>
      </c>
      <c r="V12" s="25"/>
      <c r="W12" s="18">
        <v>1290000</v>
      </c>
      <c r="X12" s="18"/>
      <c r="Y12" s="18"/>
      <c r="Z12" s="18">
        <f t="shared" ref="Z12:Z13" si="13">V12+W12+X12+Y12</f>
        <v>1290000</v>
      </c>
      <c r="AA12" s="18"/>
      <c r="AB12" s="18"/>
      <c r="AC12" s="18"/>
      <c r="AD12" s="18"/>
    </row>
    <row r="13" spans="1:33" ht="28.15" customHeight="1" x14ac:dyDescent="0.25">
      <c r="A13" s="1" t="s">
        <v>10</v>
      </c>
      <c r="B13" s="18">
        <f>500000+28500</f>
        <v>528500</v>
      </c>
      <c r="C13" s="18">
        <v>369231.82</v>
      </c>
      <c r="D13" s="18">
        <f t="shared" si="10"/>
        <v>159268.18</v>
      </c>
      <c r="E13" s="18">
        <v>630000</v>
      </c>
      <c r="F13" s="2">
        <f t="shared" si="0"/>
        <v>1158500</v>
      </c>
      <c r="G13" s="18">
        <v>349700</v>
      </c>
      <c r="H13" s="25">
        <f t="shared" si="8"/>
        <v>282382.75</v>
      </c>
      <c r="I13" s="25">
        <f t="shared" si="9"/>
        <v>49832.25</v>
      </c>
      <c r="J13" s="25">
        <f t="shared" si="1"/>
        <v>17485</v>
      </c>
      <c r="K13" s="18">
        <v>24870</v>
      </c>
      <c r="L13" s="18">
        <f t="shared" si="2"/>
        <v>21139.5</v>
      </c>
      <c r="M13" s="18">
        <f t="shared" si="3"/>
        <v>3730.5</v>
      </c>
      <c r="N13" s="18">
        <v>25600</v>
      </c>
      <c r="O13" s="18">
        <f t="shared" si="4"/>
        <v>21760</v>
      </c>
      <c r="P13" s="18">
        <f t="shared" si="5"/>
        <v>3840</v>
      </c>
      <c r="Q13" s="18">
        <v>16640</v>
      </c>
      <c r="R13" s="18">
        <v>16640</v>
      </c>
      <c r="S13" s="18">
        <f t="shared" si="6"/>
        <v>12480</v>
      </c>
      <c r="T13" s="18">
        <f t="shared" si="7"/>
        <v>4160</v>
      </c>
      <c r="U13" s="18">
        <v>0</v>
      </c>
      <c r="V13" s="18"/>
      <c r="W13" s="18">
        <v>1196786.71</v>
      </c>
      <c r="X13" s="18"/>
      <c r="Y13" s="18"/>
      <c r="Z13" s="18">
        <f t="shared" si="13"/>
        <v>1196786.71</v>
      </c>
      <c r="AA13" s="18"/>
      <c r="AB13" s="18"/>
      <c r="AC13" s="18"/>
      <c r="AD13" s="18">
        <v>64300</v>
      </c>
    </row>
    <row r="14" spans="1:33" ht="26.45" customHeight="1" x14ac:dyDescent="0.25">
      <c r="A14" s="1" t="s">
        <v>11</v>
      </c>
      <c r="B14" s="2">
        <f>240000+12700</f>
        <v>252700</v>
      </c>
      <c r="C14" s="2">
        <v>156742.39999999999</v>
      </c>
      <c r="D14" s="2">
        <f t="shared" si="10"/>
        <v>95957.6</v>
      </c>
      <c r="E14" s="2">
        <v>353250</v>
      </c>
      <c r="F14" s="18">
        <f t="shared" si="0"/>
        <v>605950</v>
      </c>
      <c r="G14" s="18">
        <v>42100</v>
      </c>
      <c r="H14" s="25">
        <f t="shared" si="8"/>
        <v>33995.75</v>
      </c>
      <c r="I14" s="25">
        <f t="shared" si="9"/>
        <v>5999.25</v>
      </c>
      <c r="J14" s="25">
        <f t="shared" si="1"/>
        <v>2105</v>
      </c>
      <c r="K14" s="18">
        <v>14920</v>
      </c>
      <c r="L14" s="18">
        <f t="shared" si="2"/>
        <v>12682</v>
      </c>
      <c r="M14" s="18">
        <f t="shared" si="3"/>
        <v>2238</v>
      </c>
      <c r="N14" s="18">
        <v>12800</v>
      </c>
      <c r="O14" s="18">
        <f t="shared" si="4"/>
        <v>10880</v>
      </c>
      <c r="P14" s="18">
        <f t="shared" si="5"/>
        <v>1920</v>
      </c>
      <c r="Q14" s="26">
        <v>0</v>
      </c>
      <c r="R14" s="18">
        <v>3300</v>
      </c>
      <c r="S14" s="18">
        <f t="shared" si="6"/>
        <v>2475</v>
      </c>
      <c r="T14" s="18">
        <f t="shared" si="7"/>
        <v>825</v>
      </c>
      <c r="U14" s="18">
        <v>430</v>
      </c>
      <c r="V14" s="18"/>
      <c r="W14" s="18"/>
      <c r="X14" s="18"/>
      <c r="Y14" s="18"/>
      <c r="Z14" s="18">
        <f t="shared" ref="Z14" si="14">V14+W14+Y14</f>
        <v>0</v>
      </c>
      <c r="AA14" s="18"/>
      <c r="AB14" s="18"/>
      <c r="AC14" s="18"/>
      <c r="AD14" s="18"/>
    </row>
    <row r="15" spans="1:33" ht="19.149999999999999" customHeight="1" x14ac:dyDescent="0.25">
      <c r="A15" s="1" t="s">
        <v>12</v>
      </c>
      <c r="B15" s="18">
        <f>425000+17000</f>
        <v>442000</v>
      </c>
      <c r="C15" s="18">
        <v>226117.98</v>
      </c>
      <c r="D15" s="2">
        <f t="shared" si="10"/>
        <v>215882.02</v>
      </c>
      <c r="E15" s="18">
        <v>666000</v>
      </c>
      <c r="F15" s="2">
        <f t="shared" si="0"/>
        <v>1108000</v>
      </c>
      <c r="G15" s="18">
        <v>134600</v>
      </c>
      <c r="H15" s="25">
        <f t="shared" si="8"/>
        <v>108689.5</v>
      </c>
      <c r="I15" s="25">
        <f t="shared" si="9"/>
        <v>19180.5</v>
      </c>
      <c r="J15" s="25">
        <f t="shared" si="1"/>
        <v>6730</v>
      </c>
      <c r="K15" s="18">
        <v>54150</v>
      </c>
      <c r="L15" s="18">
        <f t="shared" si="2"/>
        <v>46027.5</v>
      </c>
      <c r="M15" s="18">
        <f t="shared" si="3"/>
        <v>8122.5</v>
      </c>
      <c r="N15" s="18">
        <v>46100</v>
      </c>
      <c r="O15" s="18">
        <f t="shared" si="4"/>
        <v>39185</v>
      </c>
      <c r="P15" s="18">
        <f t="shared" si="5"/>
        <v>6915</v>
      </c>
      <c r="Q15" s="18">
        <v>6800</v>
      </c>
      <c r="R15" s="18">
        <v>6800</v>
      </c>
      <c r="S15" s="18">
        <f t="shared" si="6"/>
        <v>5100</v>
      </c>
      <c r="T15" s="18">
        <f t="shared" si="7"/>
        <v>1700</v>
      </c>
      <c r="U15" s="18">
        <v>1300</v>
      </c>
      <c r="V15" s="18"/>
      <c r="W15" s="18"/>
      <c r="X15" s="18"/>
      <c r="Y15" s="18"/>
      <c r="Z15" s="18">
        <f t="shared" ref="Z15:Z16" si="15">V15+W15+X15+Y15</f>
        <v>0</v>
      </c>
      <c r="AA15" s="18"/>
      <c r="AB15" s="18"/>
      <c r="AC15" s="18"/>
      <c r="AD15" s="18">
        <v>47200</v>
      </c>
    </row>
    <row r="16" spans="1:33" ht="26.45" customHeight="1" x14ac:dyDescent="0.25">
      <c r="A16" s="1" t="s">
        <v>13</v>
      </c>
      <c r="B16" s="2">
        <f>320000+65100</f>
        <v>385100</v>
      </c>
      <c r="C16" s="2">
        <v>194786.46</v>
      </c>
      <c r="D16" s="18">
        <f t="shared" si="10"/>
        <v>190313.54</v>
      </c>
      <c r="E16" s="2">
        <v>506250</v>
      </c>
      <c r="F16" s="2">
        <f t="shared" si="0"/>
        <v>891350</v>
      </c>
      <c r="G16" s="18">
        <v>76300</v>
      </c>
      <c r="H16" s="25">
        <f t="shared" si="8"/>
        <v>61612.25</v>
      </c>
      <c r="I16" s="25">
        <f t="shared" si="9"/>
        <v>10872.75</v>
      </c>
      <c r="J16" s="25">
        <f t="shared" si="1"/>
        <v>3815</v>
      </c>
      <c r="K16" s="18">
        <v>24870</v>
      </c>
      <c r="L16" s="18">
        <f t="shared" si="2"/>
        <v>21139.5</v>
      </c>
      <c r="M16" s="18">
        <f t="shared" si="3"/>
        <v>3730.5</v>
      </c>
      <c r="N16" s="18">
        <v>17900</v>
      </c>
      <c r="O16" s="18">
        <f t="shared" si="4"/>
        <v>15215</v>
      </c>
      <c r="P16" s="18">
        <f t="shared" si="5"/>
        <v>2685</v>
      </c>
      <c r="Q16" s="18">
        <v>6250</v>
      </c>
      <c r="R16" s="18">
        <v>6250</v>
      </c>
      <c r="S16" s="18">
        <f t="shared" si="6"/>
        <v>4687.5</v>
      </c>
      <c r="T16" s="18">
        <f t="shared" si="7"/>
        <v>1562.5</v>
      </c>
      <c r="U16" s="18">
        <v>430</v>
      </c>
      <c r="V16" s="18"/>
      <c r="W16" s="18"/>
      <c r="X16" s="18"/>
      <c r="Y16" s="18"/>
      <c r="Z16" s="18">
        <f t="shared" si="15"/>
        <v>0</v>
      </c>
      <c r="AA16" s="18"/>
      <c r="AB16" s="18"/>
      <c r="AC16" s="18"/>
      <c r="AD16" s="18"/>
    </row>
    <row r="17" spans="1:33" ht="29.45" customHeight="1" x14ac:dyDescent="0.25">
      <c r="A17" s="1" t="s">
        <v>14</v>
      </c>
      <c r="B17" s="18">
        <f>320000+35000</f>
        <v>355000</v>
      </c>
      <c r="C17" s="18">
        <v>218392.09</v>
      </c>
      <c r="D17" s="2">
        <f t="shared" si="10"/>
        <v>136607.91</v>
      </c>
      <c r="E17" s="18">
        <v>240750</v>
      </c>
      <c r="F17" s="18">
        <f t="shared" si="0"/>
        <v>595750</v>
      </c>
      <c r="G17" s="18">
        <v>54600</v>
      </c>
      <c r="H17" s="25">
        <f t="shared" si="8"/>
        <v>44089.5</v>
      </c>
      <c r="I17" s="25">
        <f t="shared" si="9"/>
        <v>7780.5</v>
      </c>
      <c r="J17" s="25">
        <f t="shared" si="1"/>
        <v>2730</v>
      </c>
      <c r="K17" s="18">
        <v>24870</v>
      </c>
      <c r="L17" s="18">
        <f t="shared" si="2"/>
        <v>21139.5</v>
      </c>
      <c r="M17" s="18">
        <f t="shared" si="3"/>
        <v>3730.5</v>
      </c>
      <c r="N17" s="18">
        <v>19600</v>
      </c>
      <c r="O17" s="18">
        <f t="shared" si="4"/>
        <v>16660</v>
      </c>
      <c r="P17" s="18">
        <f t="shared" si="5"/>
        <v>2940</v>
      </c>
      <c r="Q17" s="18">
        <v>3300</v>
      </c>
      <c r="R17" s="18">
        <v>3300</v>
      </c>
      <c r="S17" s="18">
        <f t="shared" si="6"/>
        <v>2475</v>
      </c>
      <c r="T17" s="18">
        <f t="shared" si="7"/>
        <v>825</v>
      </c>
      <c r="U17" s="18">
        <v>0</v>
      </c>
      <c r="V17" s="18"/>
      <c r="W17" s="18"/>
      <c r="X17" s="18"/>
      <c r="Y17" s="18"/>
      <c r="Z17" s="18">
        <f t="shared" ref="Z17" si="16">V17+W17+Y17</f>
        <v>0</v>
      </c>
      <c r="AA17" s="18"/>
      <c r="AB17" s="18"/>
      <c r="AC17" s="18"/>
      <c r="AD17" s="18"/>
    </row>
    <row r="18" spans="1:33" ht="15.6" customHeight="1" x14ac:dyDescent="0.25">
      <c r="A18" s="1" t="s">
        <v>15</v>
      </c>
      <c r="B18" s="2">
        <f>370000+11500</f>
        <v>381500</v>
      </c>
      <c r="C18" s="2">
        <v>269323.24</v>
      </c>
      <c r="D18" s="2">
        <f t="shared" si="10"/>
        <v>112176.76000000001</v>
      </c>
      <c r="E18" s="2">
        <v>546750</v>
      </c>
      <c r="F18" s="2">
        <f t="shared" si="0"/>
        <v>928250</v>
      </c>
      <c r="G18" s="18">
        <v>0</v>
      </c>
      <c r="H18" s="25">
        <f t="shared" si="8"/>
        <v>0</v>
      </c>
      <c r="I18" s="25">
        <f t="shared" si="9"/>
        <v>0</v>
      </c>
      <c r="J18" s="25">
        <f t="shared" si="1"/>
        <v>0</v>
      </c>
      <c r="K18" s="18">
        <v>22660</v>
      </c>
      <c r="L18" s="18">
        <f t="shared" si="2"/>
        <v>19261</v>
      </c>
      <c r="M18" s="18">
        <f t="shared" si="3"/>
        <v>3399</v>
      </c>
      <c r="N18" s="18">
        <v>17100</v>
      </c>
      <c r="O18" s="18">
        <f t="shared" si="4"/>
        <v>14535</v>
      </c>
      <c r="P18" s="18">
        <f t="shared" si="5"/>
        <v>2565</v>
      </c>
      <c r="Q18" s="18">
        <v>10000</v>
      </c>
      <c r="R18" s="18">
        <v>10000</v>
      </c>
      <c r="S18" s="18">
        <f t="shared" si="6"/>
        <v>7500</v>
      </c>
      <c r="T18" s="18">
        <f t="shared" si="7"/>
        <v>2500</v>
      </c>
      <c r="U18" s="18">
        <v>0</v>
      </c>
      <c r="V18" s="18">
        <v>398591.45</v>
      </c>
      <c r="W18" s="18">
        <v>164919.13</v>
      </c>
      <c r="X18" s="18">
        <v>68695.42</v>
      </c>
      <c r="Y18" s="18">
        <v>106083.81</v>
      </c>
      <c r="Z18" s="18">
        <f t="shared" ref="Z18:Z19" si="17">V18+W18+X18+Y18</f>
        <v>738289.81</v>
      </c>
      <c r="AA18" s="18"/>
      <c r="AB18" s="18"/>
      <c r="AC18" s="18"/>
      <c r="AD18" s="18"/>
    </row>
    <row r="19" spans="1:33" ht="19.899999999999999" customHeight="1" x14ac:dyDescent="0.25">
      <c r="A19" s="1" t="s">
        <v>16</v>
      </c>
      <c r="B19" s="18">
        <f>600000+40000</f>
        <v>640000</v>
      </c>
      <c r="C19" s="18">
        <v>469321.01</v>
      </c>
      <c r="D19" s="18">
        <f t="shared" si="10"/>
        <v>170678.99</v>
      </c>
      <c r="E19" s="18">
        <v>1219500</v>
      </c>
      <c r="F19" s="18">
        <f t="shared" si="0"/>
        <v>1859500</v>
      </c>
      <c r="G19" s="18">
        <v>257900</v>
      </c>
      <c r="H19" s="25">
        <f t="shared" si="8"/>
        <v>208254.25</v>
      </c>
      <c r="I19" s="25">
        <f t="shared" si="9"/>
        <v>36750.75</v>
      </c>
      <c r="J19" s="25">
        <f t="shared" si="1"/>
        <v>12895</v>
      </c>
      <c r="K19" s="18">
        <v>91160</v>
      </c>
      <c r="L19" s="18">
        <f t="shared" si="2"/>
        <v>77486</v>
      </c>
      <c r="M19" s="18">
        <f t="shared" si="3"/>
        <v>13674</v>
      </c>
      <c r="N19" s="18">
        <v>81100</v>
      </c>
      <c r="O19" s="18">
        <f t="shared" si="4"/>
        <v>68935</v>
      </c>
      <c r="P19" s="18">
        <f t="shared" si="5"/>
        <v>12165</v>
      </c>
      <c r="Q19" s="18">
        <v>17800</v>
      </c>
      <c r="R19" s="18">
        <v>17800</v>
      </c>
      <c r="S19" s="18">
        <f t="shared" si="6"/>
        <v>13350</v>
      </c>
      <c r="T19" s="18">
        <f t="shared" si="7"/>
        <v>4450</v>
      </c>
      <c r="U19" s="18">
        <v>3850</v>
      </c>
      <c r="V19" s="18">
        <v>588760.61</v>
      </c>
      <c r="W19" s="18">
        <v>291674.09000000003</v>
      </c>
      <c r="X19" s="18">
        <v>187629.73</v>
      </c>
      <c r="Y19" s="18">
        <v>265642.69</v>
      </c>
      <c r="Z19" s="18">
        <f t="shared" si="17"/>
        <v>1333707.1199999999</v>
      </c>
      <c r="AA19" s="18"/>
      <c r="AB19" s="18"/>
      <c r="AC19" s="18"/>
      <c r="AD19" s="18"/>
    </row>
    <row r="20" spans="1:33" ht="18.600000000000001" customHeight="1" x14ac:dyDescent="0.25">
      <c r="A20" s="1" t="s">
        <v>72</v>
      </c>
      <c r="B20" s="2">
        <f>350000+11000</f>
        <v>361000</v>
      </c>
      <c r="C20" s="2">
        <v>250063.45</v>
      </c>
      <c r="D20" s="2">
        <f t="shared" si="10"/>
        <v>110936.54999999999</v>
      </c>
      <c r="E20" s="2">
        <v>222750</v>
      </c>
      <c r="F20" s="2">
        <f t="shared" si="0"/>
        <v>583750</v>
      </c>
      <c r="G20" s="18">
        <v>0</v>
      </c>
      <c r="H20" s="25">
        <f t="shared" si="8"/>
        <v>0</v>
      </c>
      <c r="I20" s="25">
        <f t="shared" si="9"/>
        <v>0</v>
      </c>
      <c r="J20" s="25">
        <f t="shared" si="1"/>
        <v>0</v>
      </c>
      <c r="K20" s="18">
        <v>13820</v>
      </c>
      <c r="L20" s="18">
        <f t="shared" si="2"/>
        <v>11747</v>
      </c>
      <c r="M20" s="18">
        <f t="shared" si="3"/>
        <v>2073</v>
      </c>
      <c r="N20" s="18">
        <v>24300</v>
      </c>
      <c r="O20" s="18">
        <f t="shared" si="4"/>
        <v>20655</v>
      </c>
      <c r="P20" s="18">
        <f t="shared" si="5"/>
        <v>3645</v>
      </c>
      <c r="Q20" s="18">
        <v>4825</v>
      </c>
      <c r="R20" s="18">
        <v>4825</v>
      </c>
      <c r="S20" s="18">
        <f t="shared" si="6"/>
        <v>3618.75</v>
      </c>
      <c r="T20" s="18">
        <f t="shared" si="7"/>
        <v>1206.25</v>
      </c>
      <c r="U20" s="18">
        <v>0</v>
      </c>
      <c r="V20" s="18"/>
      <c r="W20" s="18"/>
      <c r="X20" s="18"/>
      <c r="Y20" s="18"/>
      <c r="Z20" s="18">
        <f t="shared" ref="Z20" si="18">V20+W20+Y20</f>
        <v>0</v>
      </c>
      <c r="AA20" s="18"/>
      <c r="AB20" s="18"/>
      <c r="AC20" s="18"/>
      <c r="AD20" s="18"/>
    </row>
    <row r="21" spans="1:33" ht="16.899999999999999" customHeight="1" x14ac:dyDescent="0.25">
      <c r="A21" s="1" t="s">
        <v>17</v>
      </c>
      <c r="B21" s="18">
        <f>235000+25000</f>
        <v>260000</v>
      </c>
      <c r="C21" s="18">
        <v>119142.87</v>
      </c>
      <c r="D21" s="2">
        <f t="shared" si="10"/>
        <v>140857.13</v>
      </c>
      <c r="E21" s="18">
        <v>222750</v>
      </c>
      <c r="F21" s="2">
        <f t="shared" si="0"/>
        <v>482750</v>
      </c>
      <c r="G21" s="18">
        <v>91400</v>
      </c>
      <c r="H21" s="25">
        <f t="shared" si="8"/>
        <v>73805.5</v>
      </c>
      <c r="I21" s="25">
        <f t="shared" si="9"/>
        <v>13024.5</v>
      </c>
      <c r="J21" s="25">
        <f t="shared" si="1"/>
        <v>4570</v>
      </c>
      <c r="K21" s="18">
        <v>33150</v>
      </c>
      <c r="L21" s="18">
        <f t="shared" si="2"/>
        <v>28177.5</v>
      </c>
      <c r="M21" s="18">
        <f t="shared" si="3"/>
        <v>4972.5</v>
      </c>
      <c r="N21" s="18">
        <v>29000</v>
      </c>
      <c r="O21" s="18">
        <f t="shared" si="4"/>
        <v>24650</v>
      </c>
      <c r="P21" s="18">
        <f t="shared" si="5"/>
        <v>4350</v>
      </c>
      <c r="Q21" s="18">
        <v>2750</v>
      </c>
      <c r="R21" s="18">
        <v>2750</v>
      </c>
      <c r="S21" s="18">
        <f t="shared" si="6"/>
        <v>2062.5</v>
      </c>
      <c r="T21" s="18">
        <f t="shared" si="7"/>
        <v>687.5</v>
      </c>
      <c r="U21" s="18">
        <v>0</v>
      </c>
      <c r="V21" s="18">
        <v>281916.51</v>
      </c>
      <c r="W21" s="18">
        <v>123650</v>
      </c>
      <c r="X21" s="18"/>
      <c r="Y21" s="18">
        <v>82500</v>
      </c>
      <c r="Z21" s="18">
        <f t="shared" ref="Z21:Z22" si="19">V21+W21+X21+Y21</f>
        <v>488066.51</v>
      </c>
      <c r="AA21" s="18"/>
      <c r="AB21" s="18"/>
      <c r="AC21" s="18"/>
      <c r="AD21" s="18"/>
    </row>
    <row r="22" spans="1:33" ht="28.9" customHeight="1" x14ac:dyDescent="0.25">
      <c r="A22" s="1" t="s">
        <v>18</v>
      </c>
      <c r="B22" s="2">
        <v>235000</v>
      </c>
      <c r="C22" s="2">
        <v>133483.9</v>
      </c>
      <c r="D22" s="18">
        <f t="shared" si="10"/>
        <v>101516.1</v>
      </c>
      <c r="E22" s="2">
        <v>445500</v>
      </c>
      <c r="F22" s="18">
        <f t="shared" si="0"/>
        <v>680500</v>
      </c>
      <c r="G22" s="18">
        <v>0</v>
      </c>
      <c r="H22" s="25">
        <f t="shared" si="8"/>
        <v>0</v>
      </c>
      <c r="I22" s="25">
        <f t="shared" si="9"/>
        <v>0</v>
      </c>
      <c r="J22" s="25">
        <f t="shared" si="1"/>
        <v>0</v>
      </c>
      <c r="K22" s="18">
        <v>27072</v>
      </c>
      <c r="L22" s="18">
        <f t="shared" si="2"/>
        <v>23011.200000000001</v>
      </c>
      <c r="M22" s="18">
        <f t="shared" si="3"/>
        <v>4060.7999999999997</v>
      </c>
      <c r="N22" s="18">
        <v>21300</v>
      </c>
      <c r="O22" s="18">
        <f t="shared" si="4"/>
        <v>18105</v>
      </c>
      <c r="P22" s="18">
        <f t="shared" si="5"/>
        <v>3195</v>
      </c>
      <c r="Q22" s="18">
        <v>4200</v>
      </c>
      <c r="R22" s="18">
        <v>4200</v>
      </c>
      <c r="S22" s="18">
        <f t="shared" si="6"/>
        <v>3150</v>
      </c>
      <c r="T22" s="18">
        <f t="shared" si="7"/>
        <v>1050</v>
      </c>
      <c r="U22" s="18">
        <v>3000</v>
      </c>
      <c r="V22" s="18">
        <v>232899.85</v>
      </c>
      <c r="W22" s="18">
        <v>109200</v>
      </c>
      <c r="X22" s="18"/>
      <c r="Y22" s="18">
        <v>72642.559999999998</v>
      </c>
      <c r="Z22" s="18">
        <f t="shared" si="19"/>
        <v>414742.41</v>
      </c>
      <c r="AA22" s="18"/>
      <c r="AB22" s="18"/>
      <c r="AC22" s="18"/>
      <c r="AD22" s="18"/>
    </row>
    <row r="23" spans="1:33" ht="18.600000000000001" customHeight="1" x14ac:dyDescent="0.25">
      <c r="A23" s="1" t="s">
        <v>19</v>
      </c>
      <c r="B23" s="18">
        <f>255000+20000</f>
        <v>275000</v>
      </c>
      <c r="C23" s="18">
        <v>151016.26</v>
      </c>
      <c r="D23" s="2">
        <f t="shared" si="10"/>
        <v>123983.73999999999</v>
      </c>
      <c r="E23" s="18">
        <v>499500</v>
      </c>
      <c r="F23" s="2">
        <f t="shared" si="0"/>
        <v>774500</v>
      </c>
      <c r="G23" s="18">
        <v>32500</v>
      </c>
      <c r="H23" s="25">
        <f t="shared" si="8"/>
        <v>26243.75</v>
      </c>
      <c r="I23" s="25">
        <f t="shared" si="9"/>
        <v>4631.25</v>
      </c>
      <c r="J23" s="25">
        <f t="shared" si="1"/>
        <v>1625</v>
      </c>
      <c r="K23" s="18">
        <v>38673</v>
      </c>
      <c r="L23" s="18">
        <f t="shared" si="2"/>
        <v>32872.050000000003</v>
      </c>
      <c r="M23" s="18">
        <f t="shared" si="3"/>
        <v>5800.95</v>
      </c>
      <c r="N23" s="18">
        <v>29900</v>
      </c>
      <c r="O23" s="18">
        <f t="shared" si="4"/>
        <v>25415</v>
      </c>
      <c r="P23" s="18">
        <f t="shared" si="5"/>
        <v>4485</v>
      </c>
      <c r="Q23" s="18">
        <v>7950</v>
      </c>
      <c r="R23" s="18">
        <v>7950</v>
      </c>
      <c r="S23" s="18">
        <f t="shared" si="6"/>
        <v>5962.5</v>
      </c>
      <c r="T23" s="18">
        <f t="shared" si="7"/>
        <v>1987.5</v>
      </c>
      <c r="U23" s="18">
        <v>1700</v>
      </c>
      <c r="V23" s="18"/>
      <c r="W23" s="18"/>
      <c r="X23" s="18"/>
      <c r="Y23" s="18"/>
      <c r="Z23" s="18">
        <f t="shared" ref="Z23" si="20">V23+W23+Y23</f>
        <v>0</v>
      </c>
      <c r="AA23" s="18"/>
      <c r="AB23" s="18"/>
      <c r="AC23" s="18"/>
      <c r="AD23" s="18"/>
    </row>
    <row r="24" spans="1:33" ht="30" customHeight="1" x14ac:dyDescent="0.25">
      <c r="A24" s="1" t="s">
        <v>20</v>
      </c>
      <c r="B24" s="2">
        <f>250000+17100</f>
        <v>267100</v>
      </c>
      <c r="C24" s="2">
        <v>132584.06</v>
      </c>
      <c r="D24" s="2">
        <f t="shared" si="10"/>
        <v>134515.94</v>
      </c>
      <c r="E24" s="2">
        <v>101250</v>
      </c>
      <c r="F24" s="18">
        <f t="shared" si="0"/>
        <v>368350</v>
      </c>
      <c r="G24" s="18">
        <v>17100</v>
      </c>
      <c r="H24" s="25">
        <f t="shared" si="8"/>
        <v>13808.25</v>
      </c>
      <c r="I24" s="25">
        <f t="shared" si="9"/>
        <v>2436.75</v>
      </c>
      <c r="J24" s="25">
        <f t="shared" si="1"/>
        <v>855</v>
      </c>
      <c r="K24" s="18">
        <v>13820</v>
      </c>
      <c r="L24" s="18">
        <f t="shared" si="2"/>
        <v>11747</v>
      </c>
      <c r="M24" s="18">
        <f t="shared" si="3"/>
        <v>2073</v>
      </c>
      <c r="N24" s="18">
        <v>9400</v>
      </c>
      <c r="O24" s="18">
        <f t="shared" si="4"/>
        <v>7990</v>
      </c>
      <c r="P24" s="18">
        <f t="shared" si="5"/>
        <v>1410</v>
      </c>
      <c r="Q24" s="18">
        <v>3000</v>
      </c>
      <c r="R24" s="18">
        <v>3000</v>
      </c>
      <c r="S24" s="18">
        <f t="shared" si="6"/>
        <v>2250</v>
      </c>
      <c r="T24" s="18">
        <f t="shared" si="7"/>
        <v>750</v>
      </c>
      <c r="U24" s="18">
        <v>0</v>
      </c>
      <c r="V24" s="18"/>
      <c r="W24" s="18"/>
      <c r="X24" s="18"/>
      <c r="Y24" s="18"/>
      <c r="Z24" s="18">
        <f t="shared" ref="Z24:Z25" si="21">V24+W24+X24+Y24</f>
        <v>0</v>
      </c>
      <c r="AA24" s="18"/>
      <c r="AB24" s="18"/>
      <c r="AC24" s="18"/>
      <c r="AD24" s="18"/>
    </row>
    <row r="25" spans="1:33" ht="30" customHeight="1" x14ac:dyDescent="0.25">
      <c r="A25" s="1" t="s">
        <v>21</v>
      </c>
      <c r="B25" s="18">
        <v>400000</v>
      </c>
      <c r="C25" s="18">
        <v>312058.78000000003</v>
      </c>
      <c r="D25" s="18">
        <f t="shared" si="10"/>
        <v>87941.219999999972</v>
      </c>
      <c r="E25" s="18">
        <v>391500</v>
      </c>
      <c r="F25" s="2">
        <f t="shared" si="0"/>
        <v>791500</v>
      </c>
      <c r="G25" s="18">
        <v>137700</v>
      </c>
      <c r="H25" s="25">
        <f t="shared" si="8"/>
        <v>111192.75</v>
      </c>
      <c r="I25" s="25">
        <f t="shared" si="9"/>
        <v>19622.25</v>
      </c>
      <c r="J25" s="25">
        <f t="shared" si="1"/>
        <v>6885</v>
      </c>
      <c r="K25" s="18">
        <v>24870</v>
      </c>
      <c r="L25" s="18">
        <f t="shared" si="2"/>
        <v>21139.5</v>
      </c>
      <c r="M25" s="18">
        <f t="shared" si="3"/>
        <v>3730.5</v>
      </c>
      <c r="N25" s="18">
        <v>27700</v>
      </c>
      <c r="O25" s="18">
        <f t="shared" si="4"/>
        <v>23545</v>
      </c>
      <c r="P25" s="18">
        <f t="shared" si="5"/>
        <v>4155</v>
      </c>
      <c r="Q25" s="18">
        <v>7700</v>
      </c>
      <c r="R25" s="18">
        <v>7700</v>
      </c>
      <c r="S25" s="18">
        <f t="shared" si="6"/>
        <v>5775</v>
      </c>
      <c r="T25" s="18">
        <f t="shared" si="7"/>
        <v>1925</v>
      </c>
      <c r="U25" s="18">
        <v>0</v>
      </c>
      <c r="V25" s="18"/>
      <c r="W25" s="18">
        <v>125000</v>
      </c>
      <c r="X25" s="18"/>
      <c r="Y25" s="18"/>
      <c r="Z25" s="18">
        <f t="shared" si="21"/>
        <v>125000</v>
      </c>
      <c r="AA25" s="18"/>
      <c r="AB25" s="18"/>
      <c r="AC25" s="18"/>
      <c r="AD25" s="18"/>
    </row>
    <row r="26" spans="1:33" ht="17.45" customHeight="1" x14ac:dyDescent="0.25">
      <c r="A26" s="1" t="s">
        <v>22</v>
      </c>
      <c r="B26" s="2">
        <f>430000+20000</f>
        <v>450000</v>
      </c>
      <c r="C26" s="2">
        <v>310124.21000000002</v>
      </c>
      <c r="D26" s="2">
        <f t="shared" si="10"/>
        <v>139875.78999999998</v>
      </c>
      <c r="E26" s="2">
        <v>380250</v>
      </c>
      <c r="F26" s="2">
        <f t="shared" si="0"/>
        <v>830250</v>
      </c>
      <c r="G26" s="18">
        <v>346100</v>
      </c>
      <c r="H26" s="25">
        <f t="shared" si="8"/>
        <v>279475.75</v>
      </c>
      <c r="I26" s="25">
        <f t="shared" si="9"/>
        <v>49319.25</v>
      </c>
      <c r="J26" s="25">
        <f t="shared" si="1"/>
        <v>17305</v>
      </c>
      <c r="K26" s="18">
        <v>49730</v>
      </c>
      <c r="L26" s="18">
        <f t="shared" si="2"/>
        <v>42270.5</v>
      </c>
      <c r="M26" s="18">
        <f t="shared" si="3"/>
        <v>7459.5</v>
      </c>
      <c r="N26" s="18">
        <v>27700</v>
      </c>
      <c r="O26" s="18">
        <f t="shared" si="4"/>
        <v>23545</v>
      </c>
      <c r="P26" s="18">
        <f t="shared" si="5"/>
        <v>4155</v>
      </c>
      <c r="Q26" s="18">
        <v>6000</v>
      </c>
      <c r="R26" s="18">
        <v>6000</v>
      </c>
      <c r="S26" s="18">
        <f t="shared" si="6"/>
        <v>4500</v>
      </c>
      <c r="T26" s="18">
        <f t="shared" si="7"/>
        <v>1500</v>
      </c>
      <c r="U26" s="18">
        <v>430</v>
      </c>
      <c r="V26" s="18"/>
      <c r="W26" s="18"/>
      <c r="X26" s="18"/>
      <c r="Y26" s="18"/>
      <c r="Z26" s="18">
        <f t="shared" ref="Z26" si="22">V26+W26+Y26</f>
        <v>0</v>
      </c>
      <c r="AA26" s="18"/>
      <c r="AB26" s="18"/>
      <c r="AC26" s="18"/>
      <c r="AD26" s="18">
        <v>47200</v>
      </c>
    </row>
    <row r="27" spans="1:33" ht="17.45" customHeight="1" x14ac:dyDescent="0.25">
      <c r="A27" s="1"/>
      <c r="B27" s="2"/>
      <c r="C27" s="2"/>
      <c r="D27" s="66">
        <f>SUM(D6:D26)</f>
        <v>3357876.76</v>
      </c>
      <c r="E27" s="2"/>
      <c r="F27" s="2"/>
      <c r="G27" s="62"/>
      <c r="H27" s="63"/>
      <c r="I27" s="63"/>
      <c r="J27" s="63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18">
        <f t="shared" ref="Z27:Z28" si="23">V27+W27+X27+Y27</f>
        <v>0</v>
      </c>
      <c r="AA27" s="62"/>
      <c r="AB27" s="62"/>
      <c r="AC27" s="62"/>
      <c r="AD27" s="62"/>
    </row>
    <row r="28" spans="1:33" ht="35.450000000000003" customHeight="1" x14ac:dyDescent="0.25">
      <c r="A28" s="64" t="s">
        <v>94</v>
      </c>
      <c r="B28" s="18"/>
      <c r="C28" s="18"/>
      <c r="D28" s="18"/>
      <c r="E28" s="18"/>
      <c r="F28" s="18"/>
      <c r="G28" s="62"/>
      <c r="H28" s="63"/>
      <c r="I28" s="63"/>
      <c r="J28" s="63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18">
        <f t="shared" si="23"/>
        <v>0</v>
      </c>
      <c r="AA28" s="62"/>
      <c r="AB28" s="62"/>
      <c r="AC28" s="62"/>
      <c r="AD28" s="62"/>
    </row>
    <row r="29" spans="1:33" ht="25.5" x14ac:dyDescent="0.25">
      <c r="A29" s="64" t="s">
        <v>95</v>
      </c>
      <c r="B29" s="18"/>
      <c r="C29" s="18"/>
      <c r="D29" s="18"/>
      <c r="E29" s="18"/>
      <c r="F29" s="18"/>
      <c r="G29" s="62"/>
      <c r="H29" s="63"/>
      <c r="I29" s="63"/>
      <c r="J29" s="63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18">
        <f t="shared" ref="Z29" si="24">V29+W29+Y29</f>
        <v>0</v>
      </c>
      <c r="AA29" s="62"/>
      <c r="AB29" s="62"/>
      <c r="AC29" s="62"/>
      <c r="AD29" s="62"/>
    </row>
    <row r="30" spans="1:33" ht="57.75" customHeight="1" x14ac:dyDescent="0.25">
      <c r="A30" s="80" t="s">
        <v>105</v>
      </c>
      <c r="B30" s="62"/>
      <c r="C30" s="62"/>
      <c r="D30" s="62"/>
      <c r="E30" s="76">
        <v>60000</v>
      </c>
      <c r="F30" s="81">
        <v>60000</v>
      </c>
      <c r="G30" s="62"/>
      <c r="H30" s="63"/>
      <c r="I30" s="63"/>
      <c r="J30" s="63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 spans="1:33" ht="15.75" thickBot="1" x14ac:dyDescent="0.3">
      <c r="A31" s="57" t="s">
        <v>23</v>
      </c>
      <c r="B31" s="54">
        <f>SUM(B6:B26)</f>
        <v>8938917</v>
      </c>
      <c r="C31" s="54"/>
      <c r="D31" s="54"/>
      <c r="E31" s="54">
        <f>SUM(E6:E26)</f>
        <v>9670500</v>
      </c>
      <c r="F31" s="54">
        <f>SUM(F6:F30)</f>
        <v>18669417</v>
      </c>
      <c r="G31" s="54">
        <f>SUM(G6:G26)</f>
        <v>2103400</v>
      </c>
      <c r="H31" s="55">
        <f>SUM(H6:H26)</f>
        <v>1698495.5</v>
      </c>
      <c r="I31" s="55">
        <f>SUM(I6:I26)</f>
        <v>299734.5</v>
      </c>
      <c r="J31" s="55">
        <f t="shared" si="1"/>
        <v>105170</v>
      </c>
      <c r="K31" s="54">
        <f>SUM(K6:K26)</f>
        <v>720523.67999999993</v>
      </c>
      <c r="L31" s="54">
        <f t="shared" si="2"/>
        <v>612445.12799999991</v>
      </c>
      <c r="M31" s="54">
        <f t="shared" si="3"/>
        <v>108078.55199999998</v>
      </c>
      <c r="N31" s="54">
        <f>SUM(N6:N26)</f>
        <v>631900</v>
      </c>
      <c r="O31" s="54">
        <f t="shared" si="4"/>
        <v>537115</v>
      </c>
      <c r="P31" s="54">
        <f t="shared" si="5"/>
        <v>94785</v>
      </c>
      <c r="Q31" s="54">
        <f t="shared" ref="Q31:W31" si="25">SUM(Q6:Q26)</f>
        <v>189565</v>
      </c>
      <c r="R31" s="54">
        <f t="shared" si="25"/>
        <v>192865</v>
      </c>
      <c r="S31" s="54">
        <f t="shared" si="25"/>
        <v>144648.75</v>
      </c>
      <c r="T31" s="54">
        <f t="shared" si="25"/>
        <v>48216.25</v>
      </c>
      <c r="U31" s="54">
        <f t="shared" si="25"/>
        <v>22280</v>
      </c>
      <c r="V31" s="54">
        <f t="shared" si="25"/>
        <v>1502168.4200000002</v>
      </c>
      <c r="W31" s="54">
        <f t="shared" si="25"/>
        <v>3301229.9299999997</v>
      </c>
      <c r="X31" s="54"/>
      <c r="Y31" s="54">
        <f>SUM(Y6:Y26)</f>
        <v>526869.06000000006</v>
      </c>
      <c r="Z31" s="54">
        <f>SUM(Z6:Z29)</f>
        <v>5586592.5599999996</v>
      </c>
      <c r="AA31" s="56"/>
      <c r="AB31" s="56"/>
      <c r="AC31" s="56"/>
      <c r="AD31" s="56">
        <f>SUM(AD6:AD26)</f>
        <v>308500</v>
      </c>
    </row>
    <row r="32" spans="1:33" x14ac:dyDescent="0.25">
      <c r="A32" s="73"/>
      <c r="B32" s="73"/>
      <c r="C32" s="73"/>
      <c r="D32" s="73"/>
      <c r="E32" s="30"/>
      <c r="F32" s="30"/>
      <c r="G32" s="30"/>
      <c r="H32" s="30"/>
      <c r="I32" s="30"/>
      <c r="J32" s="30"/>
      <c r="K32" s="31"/>
      <c r="L32" s="31"/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77"/>
      <c r="AE32" s="77"/>
      <c r="AF32" s="77"/>
      <c r="AG32" s="77"/>
    </row>
    <row r="33" spans="1:29" x14ac:dyDescent="0.25">
      <c r="A33" s="11"/>
      <c r="B33" s="11"/>
      <c r="C33" s="11"/>
      <c r="D33" s="11"/>
      <c r="E33" s="11"/>
      <c r="F33" s="11"/>
      <c r="G33" s="79"/>
      <c r="H33" s="76"/>
      <c r="I33" s="38"/>
      <c r="J33" s="30"/>
      <c r="K33" s="31"/>
      <c r="L33" s="3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10"/>
      <c r="AC33" s="10"/>
    </row>
    <row r="34" spans="1:29" x14ac:dyDescent="0.25">
      <c r="A34" s="11"/>
      <c r="B34" s="11"/>
      <c r="C34" s="11"/>
      <c r="D34" s="11"/>
      <c r="E34" s="11"/>
      <c r="F34" s="11"/>
      <c r="G34" s="11"/>
      <c r="H34" s="78"/>
      <c r="I34" s="38"/>
      <c r="J34" s="30"/>
      <c r="K34" s="31"/>
      <c r="L34" s="3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10"/>
      <c r="AC34" s="10"/>
    </row>
    <row r="35" spans="1:29" ht="26.25" x14ac:dyDescent="0.25">
      <c r="A35" s="11"/>
      <c r="B35" s="11"/>
      <c r="C35" s="11"/>
      <c r="D35" s="11"/>
      <c r="E35" s="11"/>
      <c r="F35" s="11"/>
      <c r="G35" s="82" t="s">
        <v>106</v>
      </c>
      <c r="H35" s="103">
        <v>3064145</v>
      </c>
      <c r="I35" s="38"/>
      <c r="J35" s="30"/>
      <c r="K35" s="31"/>
      <c r="L35" s="3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10"/>
      <c r="AC35" s="10"/>
    </row>
    <row r="36" spans="1:29" x14ac:dyDescent="0.25">
      <c r="G36" s="105" t="s">
        <v>107</v>
      </c>
      <c r="H36" s="104">
        <f>F31+H35</f>
        <v>21733562</v>
      </c>
      <c r="I36" s="39"/>
    </row>
    <row r="37" spans="1:29" ht="15.75" x14ac:dyDescent="0.25">
      <c r="A37" s="42" t="s">
        <v>74</v>
      </c>
      <c r="B37" s="109">
        <v>21733562</v>
      </c>
      <c r="C37" s="42"/>
      <c r="D37" s="42"/>
      <c r="I37" s="44"/>
    </row>
  </sheetData>
  <mergeCells count="19">
    <mergeCell ref="B3:B4"/>
    <mergeCell ref="A3:A4"/>
    <mergeCell ref="V4:W4"/>
    <mergeCell ref="L3:M4"/>
    <mergeCell ref="O3:P4"/>
    <mergeCell ref="Q3:Q4"/>
    <mergeCell ref="R3:R4"/>
    <mergeCell ref="U3:U4"/>
    <mergeCell ref="F3:F5"/>
    <mergeCell ref="G3:G4"/>
    <mergeCell ref="N3:N4"/>
    <mergeCell ref="J2:AG2"/>
    <mergeCell ref="H3:J3"/>
    <mergeCell ref="K3:K4"/>
    <mergeCell ref="S3:T4"/>
    <mergeCell ref="AA3:AD3"/>
    <mergeCell ref="H4:I4"/>
    <mergeCell ref="J4:J5"/>
    <mergeCell ref="V3:Z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8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view="pageBreakPreview" zoomScale="60" zoomScaleNormal="80" workbookViewId="0">
      <selection activeCell="Z5" sqref="Z5"/>
    </sheetView>
  </sheetViews>
  <sheetFormatPr defaultRowHeight="15" x14ac:dyDescent="0.25"/>
  <cols>
    <col min="1" max="1" width="20.42578125" customWidth="1"/>
    <col min="2" max="2" width="13.5703125" customWidth="1"/>
    <col min="3" max="3" width="13.28515625" customWidth="1"/>
    <col min="4" max="4" width="12.7109375" customWidth="1"/>
    <col min="5" max="5" width="14.5703125" customWidth="1"/>
    <col min="6" max="6" width="14.42578125" customWidth="1"/>
    <col min="7" max="7" width="16.5703125" customWidth="1"/>
    <col min="8" max="8" width="11.85546875" customWidth="1"/>
    <col min="9" max="9" width="12.42578125" customWidth="1"/>
    <col min="10" max="10" width="12.28515625" customWidth="1"/>
    <col min="11" max="11" width="10.7109375" customWidth="1"/>
    <col min="12" max="12" width="11.28515625" customWidth="1"/>
    <col min="13" max="13" width="12.42578125" customWidth="1"/>
    <col min="14" max="14" width="11.5703125" customWidth="1"/>
    <col min="15" max="15" width="10.7109375" customWidth="1"/>
    <col min="16" max="16" width="11.7109375" customWidth="1"/>
    <col min="17" max="17" width="9.140625" customWidth="1"/>
    <col min="18" max="18" width="9.7109375" customWidth="1"/>
    <col min="19" max="19" width="11.42578125" customWidth="1"/>
    <col min="20" max="20" width="11.7109375" customWidth="1"/>
    <col min="24" max="24" width="12.140625" customWidth="1"/>
  </cols>
  <sheetData>
    <row r="1" spans="1:21" ht="14.45" x14ac:dyDescent="0.3">
      <c r="A1" s="16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/>
      <c r="B2" s="153" t="s">
        <v>137</v>
      </c>
      <c r="C2" s="61"/>
      <c r="D2" s="61"/>
      <c r="E2" s="147" t="s">
        <v>41</v>
      </c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28.9" customHeight="1" x14ac:dyDescent="0.25">
      <c r="A3" s="137" t="s">
        <v>0</v>
      </c>
      <c r="B3" s="154"/>
      <c r="C3" s="67"/>
      <c r="D3" s="67"/>
      <c r="E3" s="145" t="s">
        <v>75</v>
      </c>
      <c r="F3" s="114" t="s">
        <v>76</v>
      </c>
      <c r="G3" s="115"/>
      <c r="H3" s="116"/>
      <c r="I3" s="117" t="s">
        <v>64</v>
      </c>
      <c r="J3" s="117" t="s">
        <v>77</v>
      </c>
      <c r="K3" s="137" t="s">
        <v>78</v>
      </c>
      <c r="L3" s="138"/>
      <c r="M3" s="117" t="s">
        <v>65</v>
      </c>
      <c r="N3" s="145" t="s">
        <v>66</v>
      </c>
      <c r="O3" s="145"/>
      <c r="P3" s="145"/>
      <c r="Q3" s="146"/>
      <c r="R3" s="123" t="s">
        <v>45</v>
      </c>
      <c r="S3" s="149"/>
      <c r="T3" s="149"/>
      <c r="U3" s="136"/>
    </row>
    <row r="4" spans="1:21" ht="31.9" customHeight="1" x14ac:dyDescent="0.25">
      <c r="A4" s="150"/>
      <c r="B4" s="154"/>
      <c r="C4" s="67"/>
      <c r="D4" s="67"/>
      <c r="E4" s="148"/>
      <c r="F4" s="126" t="s">
        <v>79</v>
      </c>
      <c r="G4" s="127"/>
      <c r="H4" s="117" t="s">
        <v>80</v>
      </c>
      <c r="I4" s="128"/>
      <c r="J4" s="128"/>
      <c r="K4" s="139"/>
      <c r="L4" s="140"/>
      <c r="M4" s="128"/>
      <c r="N4" s="20" t="s">
        <v>67</v>
      </c>
      <c r="O4" s="36" t="s">
        <v>47</v>
      </c>
      <c r="P4" s="36" t="s">
        <v>48</v>
      </c>
      <c r="Q4" s="36" t="s">
        <v>68</v>
      </c>
      <c r="R4" s="36" t="s">
        <v>49</v>
      </c>
      <c r="S4" s="36" t="s">
        <v>50</v>
      </c>
      <c r="T4" s="36" t="s">
        <v>51</v>
      </c>
      <c r="U4" s="36" t="s">
        <v>52</v>
      </c>
    </row>
    <row r="5" spans="1:21" ht="33.6" customHeight="1" x14ac:dyDescent="0.25">
      <c r="A5" s="68" t="s">
        <v>1</v>
      </c>
      <c r="B5" s="155"/>
      <c r="C5" s="65" t="s">
        <v>96</v>
      </c>
      <c r="D5" s="65" t="s">
        <v>97</v>
      </c>
      <c r="E5" s="47" t="s">
        <v>81</v>
      </c>
      <c r="F5" s="36" t="s">
        <v>82</v>
      </c>
      <c r="G5" s="36" t="s">
        <v>83</v>
      </c>
      <c r="H5" s="128"/>
      <c r="I5" s="14" t="s">
        <v>69</v>
      </c>
      <c r="J5" s="14" t="s">
        <v>102</v>
      </c>
      <c r="K5" s="48" t="s">
        <v>91</v>
      </c>
      <c r="L5" s="48" t="s">
        <v>92</v>
      </c>
      <c r="M5" s="29" t="s">
        <v>70</v>
      </c>
      <c r="N5" s="20"/>
      <c r="O5" s="36"/>
      <c r="P5" s="36"/>
      <c r="Q5" s="36"/>
      <c r="R5" s="36"/>
      <c r="S5" s="36"/>
      <c r="T5" s="36"/>
      <c r="U5" s="36" t="s">
        <v>63</v>
      </c>
    </row>
    <row r="6" spans="1:21" ht="14.45" x14ac:dyDescent="0.3">
      <c r="A6" s="69"/>
      <c r="B6" s="72"/>
      <c r="C6" s="70"/>
      <c r="D6" s="3"/>
      <c r="E6" s="21"/>
      <c r="F6" s="22"/>
      <c r="G6" s="22"/>
      <c r="H6" s="22"/>
      <c r="I6" s="21"/>
      <c r="J6" s="21"/>
      <c r="K6" s="21"/>
      <c r="L6" s="21"/>
      <c r="M6" s="23"/>
      <c r="N6" s="24"/>
      <c r="O6" s="22"/>
      <c r="P6" s="22"/>
      <c r="Q6" s="22"/>
      <c r="R6" s="22"/>
      <c r="S6" s="22"/>
      <c r="T6" s="22"/>
      <c r="U6" s="22"/>
    </row>
    <row r="7" spans="1:21" ht="37.15" customHeight="1" x14ac:dyDescent="0.25">
      <c r="A7" s="4" t="s">
        <v>25</v>
      </c>
      <c r="B7" s="71">
        <v>600000</v>
      </c>
      <c r="C7" s="5">
        <v>349169.12</v>
      </c>
      <c r="D7" s="5">
        <f>B7-C7</f>
        <v>250830.88</v>
      </c>
      <c r="E7" s="33">
        <v>0</v>
      </c>
      <c r="F7" s="46">
        <v>0</v>
      </c>
      <c r="G7" s="46">
        <f t="shared" ref="G7:G10" si="0">(E7*95%)*15%</f>
        <v>0</v>
      </c>
      <c r="H7" s="46">
        <v>0</v>
      </c>
      <c r="I7" s="33">
        <v>10700</v>
      </c>
      <c r="J7" s="33">
        <v>10700</v>
      </c>
      <c r="K7" s="33">
        <f>J7*75%</f>
        <v>8025</v>
      </c>
      <c r="L7" s="33">
        <f>J7*25%</f>
        <v>2675</v>
      </c>
      <c r="M7" s="32"/>
      <c r="N7" s="32"/>
      <c r="O7" s="32"/>
      <c r="P7" s="32"/>
      <c r="Q7" s="32"/>
      <c r="R7" s="32"/>
      <c r="S7" s="32"/>
      <c r="T7" s="32"/>
      <c r="U7" s="32"/>
    </row>
    <row r="8" spans="1:21" ht="25.5" x14ac:dyDescent="0.25">
      <c r="A8" s="4" t="s">
        <v>26</v>
      </c>
      <c r="B8" s="5">
        <v>755816</v>
      </c>
      <c r="C8" s="5">
        <v>389194.15</v>
      </c>
      <c r="D8" s="5">
        <f>B8-C8</f>
        <v>366621.85</v>
      </c>
      <c r="E8" s="33">
        <v>0</v>
      </c>
      <c r="F8" s="46">
        <f>E8-H8</f>
        <v>0</v>
      </c>
      <c r="G8" s="46">
        <f t="shared" si="0"/>
        <v>0</v>
      </c>
      <c r="H8" s="46">
        <f>E8*5%</f>
        <v>0</v>
      </c>
      <c r="I8" s="33">
        <v>0</v>
      </c>
      <c r="J8" s="33">
        <v>0</v>
      </c>
      <c r="K8" s="33">
        <f t="shared" ref="K8:K23" si="1">J8*75%</f>
        <v>0</v>
      </c>
      <c r="L8" s="33">
        <f t="shared" ref="L8:L23" si="2">J8*25%</f>
        <v>0</v>
      </c>
      <c r="M8" s="32"/>
      <c r="N8" s="32"/>
      <c r="O8" s="32"/>
      <c r="P8" s="32"/>
      <c r="Q8" s="32"/>
      <c r="R8" s="32"/>
      <c r="S8" s="32"/>
      <c r="T8" s="32"/>
      <c r="U8" s="32"/>
    </row>
    <row r="9" spans="1:21" ht="14.45" x14ac:dyDescent="0.3">
      <c r="A9" s="4" t="s">
        <v>27</v>
      </c>
      <c r="B9" s="5">
        <f>900000+300000</f>
        <v>1200000</v>
      </c>
      <c r="C9" s="5">
        <v>595461.05000000005</v>
      </c>
      <c r="D9" s="5">
        <f>B9-C9</f>
        <v>604538.94999999995</v>
      </c>
      <c r="E9" s="33">
        <v>0</v>
      </c>
      <c r="F9" s="46">
        <f t="shared" ref="F9:F13" si="3">E9-H9</f>
        <v>0</v>
      </c>
      <c r="G9" s="46">
        <f t="shared" si="0"/>
        <v>0</v>
      </c>
      <c r="H9" s="46">
        <f t="shared" ref="H9:H24" si="4">E9*5%</f>
        <v>0</v>
      </c>
      <c r="I9" s="33">
        <v>13000</v>
      </c>
      <c r="J9" s="33">
        <v>13000</v>
      </c>
      <c r="K9" s="33">
        <f t="shared" si="1"/>
        <v>9750</v>
      </c>
      <c r="L9" s="33">
        <f t="shared" si="2"/>
        <v>3250</v>
      </c>
      <c r="M9" s="32"/>
      <c r="N9" s="32"/>
      <c r="O9" s="32"/>
      <c r="P9" s="32"/>
      <c r="Q9" s="32"/>
      <c r="R9" s="32"/>
      <c r="S9" s="32"/>
      <c r="T9" s="32"/>
      <c r="U9" s="32"/>
    </row>
    <row r="10" spans="1:21" ht="14.45" x14ac:dyDescent="0.3">
      <c r="A10" s="4" t="s">
        <v>28</v>
      </c>
      <c r="B10" s="5">
        <v>500000</v>
      </c>
      <c r="C10" s="5">
        <v>253554.29</v>
      </c>
      <c r="D10" s="5">
        <f t="shared" ref="D10:D23" si="5">B10-C10</f>
        <v>246445.71</v>
      </c>
      <c r="E10" s="33">
        <v>0</v>
      </c>
      <c r="F10" s="46">
        <f t="shared" si="3"/>
        <v>0</v>
      </c>
      <c r="G10" s="46">
        <f t="shared" si="0"/>
        <v>0</v>
      </c>
      <c r="H10" s="46">
        <f t="shared" si="4"/>
        <v>0</v>
      </c>
      <c r="I10" s="33">
        <v>5550</v>
      </c>
      <c r="J10" s="33">
        <v>5550</v>
      </c>
      <c r="K10" s="33">
        <f t="shared" si="1"/>
        <v>4162.5</v>
      </c>
      <c r="L10" s="33">
        <f t="shared" si="2"/>
        <v>1387.5</v>
      </c>
      <c r="M10" s="32"/>
      <c r="N10" s="32"/>
      <c r="O10" s="32"/>
      <c r="P10" s="32"/>
      <c r="Q10" s="32"/>
      <c r="R10" s="32"/>
      <c r="S10" s="32"/>
      <c r="T10" s="32"/>
      <c r="U10" s="32"/>
    </row>
    <row r="11" spans="1:21" x14ac:dyDescent="0.25">
      <c r="A11" s="4" t="s">
        <v>29</v>
      </c>
      <c r="B11" s="5">
        <v>705000</v>
      </c>
      <c r="C11" s="5">
        <v>590994.6</v>
      </c>
      <c r="D11" s="5">
        <f t="shared" si="5"/>
        <v>114005.40000000002</v>
      </c>
      <c r="E11" s="33">
        <v>91950</v>
      </c>
      <c r="F11" s="46">
        <f>(E11*95%)*85%</f>
        <v>74249.625</v>
      </c>
      <c r="G11" s="46">
        <f>(E11*95%)*15%</f>
        <v>13102.875</v>
      </c>
      <c r="H11" s="46">
        <f t="shared" si="4"/>
        <v>4597.5</v>
      </c>
      <c r="I11" s="33">
        <v>5550</v>
      </c>
      <c r="J11" s="33">
        <v>5550</v>
      </c>
      <c r="K11" s="33">
        <f t="shared" si="1"/>
        <v>4162.5</v>
      </c>
      <c r="L11" s="33">
        <f t="shared" si="2"/>
        <v>1387.5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5.5" x14ac:dyDescent="0.25">
      <c r="A12" s="4" t="s">
        <v>30</v>
      </c>
      <c r="B12" s="5">
        <v>670000</v>
      </c>
      <c r="C12" s="5">
        <v>472976.1</v>
      </c>
      <c r="D12" s="5">
        <f t="shared" si="5"/>
        <v>197023.90000000002</v>
      </c>
      <c r="E12" s="33">
        <v>0</v>
      </c>
      <c r="F12" s="46">
        <f t="shared" si="3"/>
        <v>0</v>
      </c>
      <c r="G12" s="46">
        <f t="shared" ref="G12:G24" si="6">(E12*95%)*15%</f>
        <v>0</v>
      </c>
      <c r="H12" s="46">
        <f t="shared" si="4"/>
        <v>0</v>
      </c>
      <c r="I12" s="33">
        <v>11000</v>
      </c>
      <c r="J12" s="33">
        <v>11000</v>
      </c>
      <c r="K12" s="33">
        <f t="shared" si="1"/>
        <v>8250</v>
      </c>
      <c r="L12" s="33">
        <f t="shared" si="2"/>
        <v>2750</v>
      </c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5.5" x14ac:dyDescent="0.25">
      <c r="A13" s="4" t="s">
        <v>31</v>
      </c>
      <c r="B13" s="5">
        <f>530000+15000</f>
        <v>545000</v>
      </c>
      <c r="C13" s="5">
        <v>413313.26</v>
      </c>
      <c r="D13" s="5">
        <f t="shared" si="5"/>
        <v>131686.74</v>
      </c>
      <c r="E13" s="33">
        <v>0</v>
      </c>
      <c r="F13" s="46">
        <f t="shared" si="3"/>
        <v>0</v>
      </c>
      <c r="G13" s="46">
        <f t="shared" si="6"/>
        <v>0</v>
      </c>
      <c r="H13" s="46">
        <f t="shared" si="4"/>
        <v>0</v>
      </c>
      <c r="I13" s="33">
        <v>8400</v>
      </c>
      <c r="J13" s="33">
        <v>8400</v>
      </c>
      <c r="K13" s="33">
        <f t="shared" si="1"/>
        <v>6300</v>
      </c>
      <c r="L13" s="33">
        <f t="shared" si="2"/>
        <v>2100</v>
      </c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38.25" x14ac:dyDescent="0.25">
      <c r="A14" s="6" t="s">
        <v>32</v>
      </c>
      <c r="B14" s="5">
        <v>780000</v>
      </c>
      <c r="C14" s="5">
        <v>554523.93000000005</v>
      </c>
      <c r="D14" s="5">
        <f t="shared" si="5"/>
        <v>225476.06999999995</v>
      </c>
      <c r="E14" s="33">
        <v>107750</v>
      </c>
      <c r="F14" s="46">
        <f>(E14*95%)*85%</f>
        <v>87008.125</v>
      </c>
      <c r="G14" s="46">
        <f t="shared" si="6"/>
        <v>15354.375</v>
      </c>
      <c r="H14" s="46">
        <f t="shared" si="4"/>
        <v>5387.5</v>
      </c>
      <c r="I14" s="33">
        <v>10500</v>
      </c>
      <c r="J14" s="33">
        <v>10500</v>
      </c>
      <c r="K14" s="33">
        <f t="shared" si="1"/>
        <v>7875</v>
      </c>
      <c r="L14" s="33">
        <f t="shared" si="2"/>
        <v>2625</v>
      </c>
      <c r="M14" s="32"/>
      <c r="N14" s="32"/>
      <c r="O14" s="32"/>
      <c r="P14" s="32"/>
      <c r="Q14" s="32"/>
      <c r="R14" s="32"/>
      <c r="S14" s="32"/>
      <c r="T14" s="32"/>
      <c r="U14" s="32">
        <v>34300</v>
      </c>
    </row>
    <row r="15" spans="1:21" x14ac:dyDescent="0.25">
      <c r="A15" s="4" t="s">
        <v>33</v>
      </c>
      <c r="B15" s="5">
        <f>676178+10000</f>
        <v>686178</v>
      </c>
      <c r="C15" s="5">
        <v>407680.52</v>
      </c>
      <c r="D15" s="5">
        <f t="shared" si="5"/>
        <v>278497.48</v>
      </c>
      <c r="E15" s="33">
        <v>34300</v>
      </c>
      <c r="F15" s="46">
        <f>(E15*95%)*85%</f>
        <v>27697.25</v>
      </c>
      <c r="G15" s="46">
        <f t="shared" si="6"/>
        <v>4887.75</v>
      </c>
      <c r="H15" s="46">
        <f t="shared" si="4"/>
        <v>1715</v>
      </c>
      <c r="I15" s="33">
        <v>3100</v>
      </c>
      <c r="J15" s="33">
        <v>3100</v>
      </c>
      <c r="K15" s="33">
        <f t="shared" si="1"/>
        <v>2325</v>
      </c>
      <c r="L15" s="33">
        <f t="shared" si="2"/>
        <v>775</v>
      </c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5.5" x14ac:dyDescent="0.25">
      <c r="A16" s="4" t="s">
        <v>34</v>
      </c>
      <c r="B16" s="5">
        <v>650000</v>
      </c>
      <c r="C16" s="5">
        <v>446345.86</v>
      </c>
      <c r="D16" s="5">
        <f t="shared" si="5"/>
        <v>203654.14</v>
      </c>
      <c r="E16" s="33">
        <v>0</v>
      </c>
      <c r="F16" s="46">
        <f t="shared" ref="F16:F24" si="7">(E16*95%)*85%</f>
        <v>0</v>
      </c>
      <c r="G16" s="46">
        <f t="shared" si="6"/>
        <v>0</v>
      </c>
      <c r="H16" s="46">
        <f t="shared" si="4"/>
        <v>0</v>
      </c>
      <c r="I16" s="33">
        <v>2800</v>
      </c>
      <c r="J16" s="33">
        <v>2800</v>
      </c>
      <c r="K16" s="33">
        <f t="shared" si="1"/>
        <v>2100</v>
      </c>
      <c r="L16" s="33">
        <f t="shared" si="2"/>
        <v>700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4" ht="25.5" x14ac:dyDescent="0.25">
      <c r="A17" s="4" t="s">
        <v>35</v>
      </c>
      <c r="B17" s="5">
        <v>750000</v>
      </c>
      <c r="C17" s="5">
        <v>521795.31</v>
      </c>
      <c r="D17" s="5">
        <f t="shared" si="5"/>
        <v>228204.69</v>
      </c>
      <c r="E17" s="33">
        <v>53850</v>
      </c>
      <c r="F17" s="46">
        <f t="shared" si="7"/>
        <v>43483.875</v>
      </c>
      <c r="G17" s="46">
        <f t="shared" si="6"/>
        <v>7673.625</v>
      </c>
      <c r="H17" s="46">
        <f t="shared" si="4"/>
        <v>2692.5</v>
      </c>
      <c r="I17" s="33">
        <v>8400</v>
      </c>
      <c r="J17" s="33">
        <v>8400</v>
      </c>
      <c r="K17" s="33">
        <f t="shared" si="1"/>
        <v>6300</v>
      </c>
      <c r="L17" s="33">
        <f t="shared" si="2"/>
        <v>2100</v>
      </c>
      <c r="M17" s="32"/>
      <c r="N17" s="32"/>
      <c r="O17" s="32"/>
      <c r="P17" s="32"/>
      <c r="Q17" s="32"/>
      <c r="R17" s="32"/>
      <c r="S17" s="32"/>
      <c r="T17" s="32"/>
      <c r="U17" s="32"/>
    </row>
    <row r="18" spans="1:24" ht="25.5" x14ac:dyDescent="0.25">
      <c r="A18" s="4" t="s">
        <v>36</v>
      </c>
      <c r="B18" s="5">
        <v>700000</v>
      </c>
      <c r="C18" s="5">
        <v>413022.71999999997</v>
      </c>
      <c r="D18" s="5">
        <f t="shared" si="5"/>
        <v>286977.28000000003</v>
      </c>
      <c r="E18" s="33">
        <v>0</v>
      </c>
      <c r="F18" s="46">
        <f t="shared" si="7"/>
        <v>0</v>
      </c>
      <c r="G18" s="46">
        <f t="shared" si="6"/>
        <v>0</v>
      </c>
      <c r="H18" s="46">
        <f t="shared" si="4"/>
        <v>0</v>
      </c>
      <c r="I18" s="33">
        <v>5100</v>
      </c>
      <c r="J18" s="33">
        <v>5100</v>
      </c>
      <c r="K18" s="33">
        <f t="shared" si="1"/>
        <v>3825</v>
      </c>
      <c r="L18" s="33">
        <f t="shared" si="2"/>
        <v>1275</v>
      </c>
      <c r="M18" s="32"/>
      <c r="N18" s="32"/>
      <c r="O18" s="32"/>
      <c r="P18" s="32"/>
      <c r="Q18" s="32"/>
      <c r="R18" s="32"/>
      <c r="S18" s="32"/>
      <c r="T18" s="32"/>
      <c r="U18" s="32"/>
    </row>
    <row r="19" spans="1:24" x14ac:dyDescent="0.25">
      <c r="A19" s="4" t="s">
        <v>37</v>
      </c>
      <c r="B19" s="5">
        <v>815000</v>
      </c>
      <c r="C19" s="5" t="s">
        <v>98</v>
      </c>
      <c r="D19" s="5">
        <v>264628.34000000003</v>
      </c>
      <c r="E19" s="33">
        <v>0</v>
      </c>
      <c r="F19" s="46">
        <f t="shared" si="7"/>
        <v>0</v>
      </c>
      <c r="G19" s="46">
        <f t="shared" si="6"/>
        <v>0</v>
      </c>
      <c r="H19" s="46">
        <f t="shared" si="4"/>
        <v>0</v>
      </c>
      <c r="I19" s="33">
        <v>8000</v>
      </c>
      <c r="J19" s="33">
        <v>8000</v>
      </c>
      <c r="K19" s="33">
        <f t="shared" si="1"/>
        <v>6000</v>
      </c>
      <c r="L19" s="33">
        <f t="shared" si="2"/>
        <v>2000</v>
      </c>
      <c r="M19" s="32"/>
      <c r="N19" s="32"/>
      <c r="O19" s="32"/>
      <c r="P19" s="32"/>
      <c r="Q19" s="32"/>
      <c r="R19" s="32"/>
      <c r="S19" s="32"/>
      <c r="T19" s="32"/>
      <c r="U19" s="32"/>
    </row>
    <row r="20" spans="1:24" x14ac:dyDescent="0.25">
      <c r="A20" s="7" t="s">
        <v>38</v>
      </c>
      <c r="B20" s="5">
        <f>780000+40000</f>
        <v>820000</v>
      </c>
      <c r="C20" s="5">
        <v>555434.12</v>
      </c>
      <c r="D20" s="5">
        <f t="shared" si="5"/>
        <v>264565.88</v>
      </c>
      <c r="E20" s="33">
        <v>138650</v>
      </c>
      <c r="F20" s="46">
        <f t="shared" si="7"/>
        <v>111959.875</v>
      </c>
      <c r="G20" s="46">
        <f t="shared" si="6"/>
        <v>19757.625</v>
      </c>
      <c r="H20" s="46">
        <f t="shared" si="4"/>
        <v>6932.5</v>
      </c>
      <c r="I20" s="33">
        <v>14500</v>
      </c>
      <c r="J20" s="33">
        <v>14500</v>
      </c>
      <c r="K20" s="33">
        <f t="shared" si="1"/>
        <v>10875</v>
      </c>
      <c r="L20" s="33">
        <f t="shared" si="2"/>
        <v>3625</v>
      </c>
      <c r="M20" s="32"/>
      <c r="N20" s="32"/>
      <c r="O20" s="32"/>
      <c r="P20" s="32"/>
      <c r="Q20" s="32"/>
      <c r="R20" s="32"/>
      <c r="S20" s="32"/>
      <c r="T20" s="32"/>
      <c r="U20" s="32"/>
    </row>
    <row r="21" spans="1:24" ht="38.450000000000003" customHeight="1" x14ac:dyDescent="0.25">
      <c r="A21" s="4" t="s">
        <v>40</v>
      </c>
      <c r="B21" s="5">
        <v>300000</v>
      </c>
      <c r="C21" s="5">
        <v>150792.85999999999</v>
      </c>
      <c r="D21" s="5">
        <f t="shared" si="5"/>
        <v>149207.14000000001</v>
      </c>
      <c r="E21" s="33">
        <v>0</v>
      </c>
      <c r="F21" s="46">
        <f t="shared" si="7"/>
        <v>0</v>
      </c>
      <c r="G21" s="46">
        <f t="shared" si="6"/>
        <v>0</v>
      </c>
      <c r="H21" s="46">
        <f t="shared" si="4"/>
        <v>0</v>
      </c>
      <c r="I21" s="33">
        <v>0</v>
      </c>
      <c r="J21" s="33">
        <v>0</v>
      </c>
      <c r="K21" s="33">
        <f t="shared" si="1"/>
        <v>0</v>
      </c>
      <c r="L21" s="33">
        <f t="shared" si="2"/>
        <v>0</v>
      </c>
      <c r="M21" s="32"/>
      <c r="N21" s="32"/>
      <c r="O21" s="32"/>
      <c r="P21" s="32"/>
      <c r="Q21" s="32"/>
      <c r="R21" s="32"/>
      <c r="S21" s="32"/>
      <c r="T21" s="32"/>
      <c r="U21" s="32"/>
    </row>
    <row r="22" spans="1:24" ht="39.6" customHeight="1" x14ac:dyDescent="0.25">
      <c r="A22" s="4" t="s">
        <v>39</v>
      </c>
      <c r="B22" s="5">
        <f>1468673+90000</f>
        <v>1558673</v>
      </c>
      <c r="C22" s="5">
        <v>924509.04</v>
      </c>
      <c r="D22" s="5">
        <f t="shared" si="5"/>
        <v>634163.96</v>
      </c>
      <c r="E22" s="33">
        <v>0</v>
      </c>
      <c r="F22" s="46">
        <f t="shared" si="7"/>
        <v>0</v>
      </c>
      <c r="G22" s="46">
        <f t="shared" si="6"/>
        <v>0</v>
      </c>
      <c r="H22" s="46">
        <f t="shared" si="4"/>
        <v>0</v>
      </c>
      <c r="I22" s="33">
        <v>4125</v>
      </c>
      <c r="J22" s="33">
        <v>4125</v>
      </c>
      <c r="K22" s="33">
        <f t="shared" si="1"/>
        <v>3093.75</v>
      </c>
      <c r="L22" s="33">
        <f t="shared" si="2"/>
        <v>1031.25</v>
      </c>
      <c r="M22" s="32"/>
      <c r="N22" s="32">
        <v>1160454.8600000001</v>
      </c>
      <c r="O22" s="32">
        <v>573381.5</v>
      </c>
      <c r="P22" s="32">
        <v>382254.34</v>
      </c>
      <c r="Q22" s="32"/>
      <c r="R22" s="32"/>
      <c r="S22" s="32"/>
      <c r="T22" s="32"/>
      <c r="U22" s="32"/>
    </row>
    <row r="23" spans="1:24" ht="25.5" x14ac:dyDescent="0.25">
      <c r="A23" s="40" t="s">
        <v>73</v>
      </c>
      <c r="B23" s="41">
        <v>889290</v>
      </c>
      <c r="C23" s="41">
        <v>748881.28</v>
      </c>
      <c r="D23" s="5">
        <f t="shared" si="5"/>
        <v>140408.71999999997</v>
      </c>
      <c r="E23" s="33">
        <v>0</v>
      </c>
      <c r="F23" s="46">
        <f t="shared" si="7"/>
        <v>0</v>
      </c>
      <c r="G23" s="46">
        <f t="shared" si="6"/>
        <v>0</v>
      </c>
      <c r="H23" s="46">
        <f t="shared" si="4"/>
        <v>0</v>
      </c>
      <c r="I23" s="33">
        <v>2800</v>
      </c>
      <c r="J23" s="33">
        <v>2800</v>
      </c>
      <c r="K23" s="33">
        <f t="shared" si="1"/>
        <v>2100</v>
      </c>
      <c r="L23" s="33">
        <f t="shared" si="2"/>
        <v>700</v>
      </c>
      <c r="M23" s="32"/>
      <c r="N23" s="32"/>
      <c r="O23" s="32"/>
      <c r="P23" s="32"/>
      <c r="Q23" s="32"/>
      <c r="R23" s="32"/>
      <c r="S23" s="32"/>
      <c r="T23" s="32"/>
      <c r="U23" s="32"/>
    </row>
    <row r="24" spans="1:24" s="43" customFormat="1" x14ac:dyDescent="0.25">
      <c r="A24" s="4" t="s">
        <v>23</v>
      </c>
      <c r="B24" s="8">
        <f>SUM(B7:B23)</f>
        <v>12924957</v>
      </c>
      <c r="C24" s="8">
        <f>SUM(C7:C23)</f>
        <v>7787648.2100000009</v>
      </c>
      <c r="D24" s="8">
        <f>SUM(D7:D23)</f>
        <v>4586937.13</v>
      </c>
      <c r="E24" s="34">
        <f>SUM(E7:E23)</f>
        <v>426500</v>
      </c>
      <c r="F24" s="53">
        <f t="shared" si="7"/>
        <v>344398.75</v>
      </c>
      <c r="G24" s="53">
        <f t="shared" si="6"/>
        <v>60776.25</v>
      </c>
      <c r="H24" s="53">
        <f t="shared" si="4"/>
        <v>21325</v>
      </c>
      <c r="I24" s="34">
        <f>SUM(I7:I23)</f>
        <v>113525</v>
      </c>
      <c r="J24" s="34">
        <f>SUM(J7:J23)</f>
        <v>113525</v>
      </c>
      <c r="K24" s="34">
        <f>SUM(K7:K23)</f>
        <v>85143.75</v>
      </c>
      <c r="L24" s="34">
        <f>SUM(L7:L23)</f>
        <v>28381.25</v>
      </c>
      <c r="M24" s="8">
        <v>13000000</v>
      </c>
      <c r="N24" s="8">
        <f>SUM(N7:N23)</f>
        <v>1160454.8600000001</v>
      </c>
      <c r="O24" s="8">
        <f>SUM(O7:O23)</f>
        <v>573381.5</v>
      </c>
      <c r="P24" s="8">
        <f>SUM(P7:P23)</f>
        <v>382254.34</v>
      </c>
      <c r="Q24" s="8"/>
      <c r="R24" s="8"/>
      <c r="S24" s="8"/>
      <c r="T24" s="8"/>
      <c r="U24" s="8">
        <f>SUM(U7:U23)</f>
        <v>34300</v>
      </c>
    </row>
    <row r="25" spans="1:24" x14ac:dyDescent="0.25">
      <c r="H25" s="50"/>
      <c r="I25" s="51"/>
      <c r="J25" s="51"/>
      <c r="K25" s="51"/>
      <c r="L25" s="52"/>
      <c r="M25" s="52"/>
      <c r="N25" s="52"/>
      <c r="O25" s="52"/>
      <c r="P25" s="50"/>
      <c r="Q25" s="50"/>
      <c r="R25" s="50"/>
      <c r="S25" s="50"/>
      <c r="T25" s="50"/>
      <c r="U25" s="50"/>
      <c r="V25" s="50"/>
      <c r="W25" s="50"/>
      <c r="X25" s="50"/>
    </row>
    <row r="26" spans="1:24" x14ac:dyDescent="0.25">
      <c r="C26" s="151" t="s">
        <v>108</v>
      </c>
      <c r="D26" s="151"/>
      <c r="E26" s="83">
        <v>1776010</v>
      </c>
      <c r="F26" s="37"/>
      <c r="G26" s="37"/>
      <c r="L26" s="11"/>
      <c r="M26" s="11"/>
      <c r="N26" s="11"/>
      <c r="O26" s="11"/>
      <c r="P26" s="11"/>
      <c r="Q26" s="11"/>
      <c r="R26" s="11"/>
      <c r="S26" s="11"/>
      <c r="T26" s="11"/>
    </row>
    <row r="27" spans="1:24" x14ac:dyDescent="0.25">
      <c r="C27" s="152" t="s">
        <v>107</v>
      </c>
      <c r="D27" s="152"/>
      <c r="E27" s="106">
        <f>B24+E26</f>
        <v>14700967</v>
      </c>
      <c r="F27" s="37"/>
      <c r="G27" s="37"/>
      <c r="I27" s="37"/>
      <c r="J27" s="37"/>
      <c r="K27" s="37"/>
      <c r="L27" s="49"/>
      <c r="M27" s="11"/>
      <c r="N27" s="49"/>
      <c r="O27" s="11"/>
      <c r="P27" s="11"/>
      <c r="Q27" s="11"/>
      <c r="R27" s="11"/>
      <c r="S27" s="11"/>
      <c r="T27" s="11"/>
    </row>
    <row r="28" spans="1:24" x14ac:dyDescent="0.25">
      <c r="A28" s="107" t="s">
        <v>74</v>
      </c>
      <c r="B28" s="43"/>
      <c r="C28" s="43"/>
      <c r="D28" s="43"/>
      <c r="E28" s="108">
        <v>14700976</v>
      </c>
      <c r="F28" s="37"/>
      <c r="G28" s="37"/>
    </row>
    <row r="29" spans="1:24" x14ac:dyDescent="0.25">
      <c r="E29" s="37"/>
      <c r="F29" s="37"/>
      <c r="G29" s="37"/>
    </row>
    <row r="30" spans="1:24" x14ac:dyDescent="0.25">
      <c r="E30" s="37"/>
      <c r="F30" s="37"/>
      <c r="G30" s="37"/>
    </row>
    <row r="31" spans="1:24" x14ac:dyDescent="0.25">
      <c r="E31" s="37"/>
      <c r="F31" s="37"/>
      <c r="G31" s="37"/>
    </row>
  </sheetData>
  <mergeCells count="15">
    <mergeCell ref="A3:A4"/>
    <mergeCell ref="C26:D26"/>
    <mergeCell ref="C27:D27"/>
    <mergeCell ref="B2:B5"/>
    <mergeCell ref="E3:E4"/>
    <mergeCell ref="I3:I4"/>
    <mergeCell ref="N3:Q3"/>
    <mergeCell ref="E2:U2"/>
    <mergeCell ref="F3:H3"/>
    <mergeCell ref="J3:J4"/>
    <mergeCell ref="K3:L4"/>
    <mergeCell ref="M3:M4"/>
    <mergeCell ref="R3:U3"/>
    <mergeCell ref="F4:G4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orientation="landscape" horizontalDpi="4294967293" verticalDpi="4294967293" r:id="rId1"/>
  <colBreaks count="1" manualBreakCount="1">
    <brk id="2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6" zoomScale="60" zoomScaleNormal="100" workbookViewId="0">
      <selection activeCell="F32" sqref="F32"/>
    </sheetView>
  </sheetViews>
  <sheetFormatPr defaultRowHeight="15" x14ac:dyDescent="0.25"/>
  <cols>
    <col min="2" max="2" width="30.42578125" bestFit="1" customWidth="1"/>
    <col min="3" max="3" width="14.85546875" customWidth="1"/>
    <col min="4" max="4" width="16.28515625" customWidth="1"/>
    <col min="5" max="5" width="14.42578125" customWidth="1"/>
    <col min="6" max="6" width="11.7109375" customWidth="1"/>
    <col min="7" max="7" width="11.85546875" customWidth="1"/>
  </cols>
  <sheetData>
    <row r="1" spans="1:7" ht="14.45" x14ac:dyDescent="0.3">
      <c r="A1" s="156" t="s">
        <v>109</v>
      </c>
      <c r="B1" s="157"/>
      <c r="C1" s="157"/>
      <c r="D1" s="157"/>
    </row>
    <row r="2" spans="1:7" ht="14.45" x14ac:dyDescent="0.3">
      <c r="A2" s="84"/>
      <c r="B2" s="74"/>
    </row>
    <row r="3" spans="1:7" ht="28.9" x14ac:dyDescent="0.3">
      <c r="A3" s="85"/>
      <c r="B3" s="86" t="s">
        <v>110</v>
      </c>
      <c r="C3" s="87" t="s">
        <v>100</v>
      </c>
      <c r="D3" s="85"/>
      <c r="E3" s="85"/>
    </row>
    <row r="4" spans="1:7" ht="37.9" customHeight="1" x14ac:dyDescent="0.25">
      <c r="A4" s="85"/>
      <c r="B4" s="88" t="s">
        <v>111</v>
      </c>
      <c r="C4" s="89">
        <f>C16+C20+C24+C28+C32</f>
        <v>5657120</v>
      </c>
      <c r="D4" s="85"/>
      <c r="E4" s="85"/>
    </row>
    <row r="5" spans="1:7" ht="28.9" x14ac:dyDescent="0.3">
      <c r="A5" s="85"/>
      <c r="B5" s="88" t="s">
        <v>112</v>
      </c>
      <c r="C5" s="89">
        <f>C17+C21+C25+C29+C33</f>
        <v>8206853</v>
      </c>
      <c r="D5" s="85"/>
      <c r="E5" s="85"/>
    </row>
    <row r="6" spans="1:7" ht="14.45" x14ac:dyDescent="0.3">
      <c r="A6" s="85"/>
      <c r="B6" s="88" t="s">
        <v>113</v>
      </c>
      <c r="C6" s="89">
        <v>13331457</v>
      </c>
      <c r="D6" s="85"/>
      <c r="E6" s="85"/>
    </row>
    <row r="7" spans="1:7" ht="14.45" x14ac:dyDescent="0.3">
      <c r="A7" s="85"/>
      <c r="B7" s="90"/>
      <c r="C7" s="85"/>
      <c r="D7" s="85"/>
      <c r="E7" s="85"/>
      <c r="F7" s="85"/>
      <c r="G7" s="85"/>
    </row>
    <row r="8" spans="1:7" ht="14.45" x14ac:dyDescent="0.3">
      <c r="A8" s="156" t="s">
        <v>114</v>
      </c>
      <c r="B8" s="157"/>
      <c r="C8" s="157"/>
      <c r="D8" s="157"/>
      <c r="E8" s="85"/>
      <c r="F8" s="85"/>
      <c r="G8" s="85"/>
    </row>
    <row r="9" spans="1:7" ht="14.45" x14ac:dyDescent="0.3">
      <c r="A9" s="85"/>
      <c r="B9" s="90"/>
      <c r="C9" s="85"/>
      <c r="D9" s="85"/>
      <c r="E9" s="85"/>
      <c r="F9" s="85"/>
      <c r="G9" s="85"/>
    </row>
    <row r="10" spans="1:7" x14ac:dyDescent="0.25">
      <c r="A10" s="85"/>
      <c r="B10" s="158" t="s">
        <v>0</v>
      </c>
      <c r="C10" s="159" t="s">
        <v>115</v>
      </c>
      <c r="D10" s="85"/>
      <c r="E10" s="85"/>
    </row>
    <row r="11" spans="1:7" x14ac:dyDescent="0.25">
      <c r="A11" s="85"/>
      <c r="B11" s="158"/>
      <c r="C11" s="159"/>
      <c r="D11" s="85"/>
      <c r="E11" s="85"/>
    </row>
    <row r="12" spans="1:7" ht="27.6" customHeight="1" x14ac:dyDescent="0.3">
      <c r="A12" s="85"/>
      <c r="B12" s="91" t="s">
        <v>116</v>
      </c>
      <c r="C12" s="92"/>
      <c r="D12" s="85"/>
      <c r="E12" s="85"/>
    </row>
    <row r="13" spans="1:7" ht="14.45" x14ac:dyDescent="0.3">
      <c r="A13" s="85"/>
      <c r="B13" s="93"/>
      <c r="C13" s="94">
        <f>C18+C22+C26+C30+C34</f>
        <v>13863973</v>
      </c>
      <c r="D13" s="85"/>
      <c r="E13" s="85"/>
    </row>
    <row r="14" spans="1:7" x14ac:dyDescent="0.25">
      <c r="A14" s="85"/>
      <c r="B14" s="160" t="s">
        <v>117</v>
      </c>
      <c r="C14" s="161"/>
      <c r="D14" s="85"/>
      <c r="E14" s="85"/>
    </row>
    <row r="15" spans="1:7" ht="27" customHeight="1" x14ac:dyDescent="0.25">
      <c r="A15" s="85"/>
      <c r="B15" s="160"/>
      <c r="C15" s="161"/>
      <c r="D15" s="85"/>
      <c r="E15" s="85"/>
    </row>
    <row r="16" spans="1:7" ht="39" customHeight="1" x14ac:dyDescent="0.25">
      <c r="A16" s="85"/>
      <c r="B16" s="95" t="s">
        <v>118</v>
      </c>
      <c r="C16" s="89">
        <v>3462185</v>
      </c>
      <c r="D16" s="85"/>
      <c r="E16" s="85"/>
    </row>
    <row r="17" spans="1:5" ht="30" x14ac:dyDescent="0.25">
      <c r="A17" s="85"/>
      <c r="B17" s="95" t="s">
        <v>119</v>
      </c>
      <c r="C17" s="89">
        <v>3607375</v>
      </c>
      <c r="D17" s="85"/>
      <c r="E17" s="85"/>
    </row>
    <row r="18" spans="1:5" x14ac:dyDescent="0.25">
      <c r="A18" s="85"/>
      <c r="B18" s="96" t="s">
        <v>120</v>
      </c>
      <c r="C18" s="97">
        <f>SUM(C16:C17)</f>
        <v>7069560</v>
      </c>
      <c r="D18" s="85"/>
      <c r="E18" s="85"/>
    </row>
    <row r="19" spans="1:5" ht="40.9" customHeight="1" x14ac:dyDescent="0.25">
      <c r="A19" s="85"/>
      <c r="B19" s="98" t="s">
        <v>121</v>
      </c>
      <c r="C19" s="89"/>
      <c r="D19" s="85"/>
      <c r="E19" s="85"/>
    </row>
    <row r="20" spans="1:5" ht="40.9" customHeight="1" x14ac:dyDescent="0.25">
      <c r="A20" s="85"/>
      <c r="B20" s="95" t="s">
        <v>118</v>
      </c>
      <c r="C20" s="89">
        <v>1227000</v>
      </c>
      <c r="D20" s="85"/>
      <c r="E20" s="85"/>
    </row>
    <row r="21" spans="1:5" ht="30" x14ac:dyDescent="0.25">
      <c r="A21" s="85"/>
      <c r="B21" s="95" t="s">
        <v>119</v>
      </c>
      <c r="C21" s="89">
        <v>2431000</v>
      </c>
      <c r="D21" s="85"/>
      <c r="E21" s="85"/>
    </row>
    <row r="22" spans="1:5" x14ac:dyDescent="0.25">
      <c r="A22" s="85"/>
      <c r="B22" s="96" t="s">
        <v>120</v>
      </c>
      <c r="C22" s="97">
        <f>SUM(C20:C21)</f>
        <v>3658000</v>
      </c>
      <c r="D22" s="85"/>
      <c r="E22" s="85"/>
    </row>
    <row r="23" spans="1:5" ht="81" customHeight="1" x14ac:dyDescent="0.25">
      <c r="A23" s="85"/>
      <c r="B23" s="98" t="s">
        <v>122</v>
      </c>
      <c r="C23" s="89"/>
      <c r="D23" s="85"/>
      <c r="E23" s="85"/>
    </row>
    <row r="24" spans="1:5" ht="39.6" customHeight="1" x14ac:dyDescent="0.25">
      <c r="A24" s="85"/>
      <c r="B24" s="95" t="s">
        <v>118</v>
      </c>
      <c r="C24" s="89">
        <v>714169</v>
      </c>
      <c r="D24" s="85"/>
      <c r="E24" s="85"/>
    </row>
    <row r="25" spans="1:5" ht="30" x14ac:dyDescent="0.25">
      <c r="A25" s="85"/>
      <c r="B25" s="95" t="s">
        <v>119</v>
      </c>
      <c r="C25" s="89">
        <v>498244</v>
      </c>
      <c r="D25" s="85"/>
      <c r="E25" s="85"/>
    </row>
    <row r="26" spans="1:5" x14ac:dyDescent="0.25">
      <c r="A26" s="85"/>
      <c r="B26" s="96" t="s">
        <v>120</v>
      </c>
      <c r="C26" s="97">
        <f>SUM(C24:C25)</f>
        <v>1212413</v>
      </c>
      <c r="D26" s="85"/>
      <c r="E26" s="85"/>
    </row>
    <row r="27" spans="1:5" ht="81.599999999999994" customHeight="1" x14ac:dyDescent="0.25">
      <c r="A27" s="85"/>
      <c r="B27" s="98" t="s">
        <v>123</v>
      </c>
      <c r="C27" s="89"/>
      <c r="D27" s="85"/>
      <c r="E27" s="85"/>
    </row>
    <row r="28" spans="1:5" ht="40.15" customHeight="1" x14ac:dyDescent="0.25">
      <c r="A28" s="85"/>
      <c r="B28" s="95" t="s">
        <v>118</v>
      </c>
      <c r="C28" s="89">
        <v>53766</v>
      </c>
      <c r="D28" s="85"/>
      <c r="E28" s="85"/>
    </row>
    <row r="29" spans="1:5" ht="30" x14ac:dyDescent="0.25">
      <c r="A29" s="85"/>
      <c r="B29" s="95" t="s">
        <v>119</v>
      </c>
      <c r="C29" s="89">
        <v>154234</v>
      </c>
      <c r="D29" s="85"/>
      <c r="E29" s="85"/>
    </row>
    <row r="30" spans="1:5" x14ac:dyDescent="0.25">
      <c r="A30" s="85"/>
      <c r="B30" s="96" t="s">
        <v>120</v>
      </c>
      <c r="C30" s="97">
        <f>SUM(C28:C29)</f>
        <v>208000</v>
      </c>
      <c r="D30" s="85"/>
      <c r="E30" s="85"/>
    </row>
    <row r="31" spans="1:5" ht="55.9" customHeight="1" x14ac:dyDescent="0.25">
      <c r="A31" s="85"/>
      <c r="B31" s="98" t="s">
        <v>124</v>
      </c>
      <c r="C31" s="89"/>
      <c r="D31" s="85"/>
      <c r="E31" s="85"/>
    </row>
    <row r="32" spans="1:5" ht="40.15" customHeight="1" x14ac:dyDescent="0.25">
      <c r="A32" s="85"/>
      <c r="B32" s="95" t="s">
        <v>118</v>
      </c>
      <c r="C32" s="89">
        <v>200000</v>
      </c>
      <c r="D32" s="85"/>
      <c r="E32" s="85"/>
    </row>
    <row r="33" spans="1:7" ht="30" x14ac:dyDescent="0.25">
      <c r="A33" s="85"/>
      <c r="B33" s="95" t="s">
        <v>119</v>
      </c>
      <c r="C33" s="89">
        <v>1516000</v>
      </c>
      <c r="D33" s="85"/>
      <c r="E33" s="85"/>
    </row>
    <row r="34" spans="1:7" x14ac:dyDescent="0.25">
      <c r="A34" s="85"/>
      <c r="B34" s="96" t="s">
        <v>120</v>
      </c>
      <c r="C34" s="97">
        <f>SUM(C32:C33)</f>
        <v>1716000</v>
      </c>
      <c r="D34" s="85"/>
      <c r="E34" s="85"/>
    </row>
    <row r="35" spans="1:7" x14ac:dyDescent="0.25">
      <c r="A35" s="85"/>
      <c r="B35" s="85"/>
      <c r="C35" s="85"/>
      <c r="D35" s="85"/>
      <c r="E35" s="85"/>
      <c r="F35" s="85"/>
      <c r="G35" s="85"/>
    </row>
    <row r="36" spans="1:7" x14ac:dyDescent="0.25">
      <c r="A36" s="156" t="s">
        <v>125</v>
      </c>
      <c r="B36" s="156"/>
      <c r="C36" s="156"/>
      <c r="D36" s="156"/>
      <c r="E36" s="156"/>
      <c r="F36" s="85"/>
      <c r="G36" s="85"/>
    </row>
    <row r="37" spans="1:7" x14ac:dyDescent="0.25">
      <c r="A37" s="85"/>
      <c r="B37" s="90"/>
      <c r="C37" s="85"/>
      <c r="D37" s="85"/>
      <c r="E37" s="85"/>
      <c r="F37" s="85"/>
      <c r="G37" s="85"/>
    </row>
    <row r="38" spans="1:7" x14ac:dyDescent="0.25">
      <c r="A38" s="85"/>
      <c r="B38" s="158" t="s">
        <v>0</v>
      </c>
      <c r="C38" s="159" t="s">
        <v>115</v>
      </c>
      <c r="D38" s="164" t="s">
        <v>126</v>
      </c>
      <c r="E38" s="166" t="s">
        <v>138</v>
      </c>
    </row>
    <row r="39" spans="1:7" x14ac:dyDescent="0.25">
      <c r="A39" s="85"/>
      <c r="B39" s="158"/>
      <c r="C39" s="159"/>
      <c r="D39" s="165"/>
      <c r="E39" s="167"/>
    </row>
    <row r="40" spans="1:7" x14ac:dyDescent="0.25">
      <c r="A40" s="85"/>
      <c r="B40" s="95" t="s">
        <v>127</v>
      </c>
      <c r="C40" s="92"/>
      <c r="D40" s="92"/>
      <c r="E40" s="92"/>
    </row>
    <row r="41" spans="1:7" x14ac:dyDescent="0.25">
      <c r="A41" s="85"/>
      <c r="B41" s="160" t="s">
        <v>128</v>
      </c>
      <c r="C41" s="161">
        <v>700000</v>
      </c>
      <c r="D41" s="162">
        <v>700000</v>
      </c>
      <c r="E41" s="161">
        <v>730000</v>
      </c>
    </row>
    <row r="42" spans="1:7" ht="24" customHeight="1" x14ac:dyDescent="0.25">
      <c r="A42" s="85"/>
      <c r="B42" s="160"/>
      <c r="C42" s="161"/>
      <c r="D42" s="163"/>
      <c r="E42" s="161"/>
    </row>
    <row r="43" spans="1:7" ht="43.9" customHeight="1" x14ac:dyDescent="0.25">
      <c r="A43" s="85"/>
      <c r="B43" s="98" t="s">
        <v>129</v>
      </c>
      <c r="C43" s="89">
        <v>497300</v>
      </c>
      <c r="D43" s="89">
        <v>345000</v>
      </c>
      <c r="E43" s="89">
        <v>400000</v>
      </c>
    </row>
    <row r="44" spans="1:7" ht="43.9" customHeight="1" x14ac:dyDescent="0.25">
      <c r="A44" s="85"/>
      <c r="B44" s="98" t="s">
        <v>130</v>
      </c>
      <c r="C44" s="89">
        <v>345000</v>
      </c>
      <c r="D44" s="89">
        <v>497300</v>
      </c>
      <c r="E44" s="89">
        <v>497300</v>
      </c>
    </row>
    <row r="45" spans="1:7" ht="38.450000000000003" customHeight="1" x14ac:dyDescent="0.25">
      <c r="A45" s="85"/>
      <c r="B45" s="98" t="s">
        <v>131</v>
      </c>
      <c r="C45" s="89">
        <v>291850</v>
      </c>
      <c r="D45" s="89">
        <v>291850</v>
      </c>
      <c r="E45" s="89">
        <v>430000</v>
      </c>
    </row>
    <row r="46" spans="1:7" ht="43.9" customHeight="1" x14ac:dyDescent="0.25">
      <c r="A46" s="85"/>
      <c r="B46" s="98" t="s">
        <v>132</v>
      </c>
      <c r="C46" s="89">
        <v>291850</v>
      </c>
      <c r="D46" s="89">
        <v>291850</v>
      </c>
      <c r="E46" s="89">
        <v>335650</v>
      </c>
    </row>
    <row r="47" spans="1:7" x14ac:dyDescent="0.25">
      <c r="A47" s="85"/>
      <c r="B47" s="99" t="s">
        <v>133</v>
      </c>
      <c r="C47" s="94">
        <v>2150000</v>
      </c>
      <c r="D47" s="94">
        <f>SUM(D41:D46)</f>
        <v>2126000</v>
      </c>
      <c r="E47" s="94">
        <f>SUM(E41:E46)</f>
        <v>2392950</v>
      </c>
    </row>
    <row r="48" spans="1:7" ht="20.45" customHeight="1" x14ac:dyDescent="0.25">
      <c r="A48" s="85"/>
      <c r="B48" s="98" t="s">
        <v>134</v>
      </c>
      <c r="C48" s="89">
        <v>1786000</v>
      </c>
      <c r="D48" s="89">
        <v>1786000</v>
      </c>
      <c r="E48" s="89">
        <v>1519050</v>
      </c>
    </row>
    <row r="49" spans="1:5" ht="43.9" customHeight="1" x14ac:dyDescent="0.25">
      <c r="A49" s="85"/>
      <c r="B49" s="98" t="s">
        <v>135</v>
      </c>
      <c r="C49" s="89">
        <v>4191240</v>
      </c>
      <c r="D49" s="89">
        <v>4191240</v>
      </c>
      <c r="E49" s="89">
        <v>4191240</v>
      </c>
    </row>
  </sheetData>
  <mergeCells count="15">
    <mergeCell ref="A36:E36"/>
    <mergeCell ref="B41:B42"/>
    <mergeCell ref="C41:C42"/>
    <mergeCell ref="D41:D42"/>
    <mergeCell ref="E41:E42"/>
    <mergeCell ref="B38:B39"/>
    <mergeCell ref="C38:C39"/>
    <mergeCell ref="D38:D39"/>
    <mergeCell ref="E38:E39"/>
    <mergeCell ref="A1:D1"/>
    <mergeCell ref="A8:D8"/>
    <mergeCell ref="B10:B11"/>
    <mergeCell ref="C10:C11"/>
    <mergeCell ref="B14:B15"/>
    <mergeCell ref="C14:C1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OSNOVNE ŠKOLE</vt:lpstr>
      <vt:lpstr>SREDNJE ŠKOLE</vt:lpstr>
      <vt:lpstr>ZDRAVSTVO I SOC.SKRB</vt:lpstr>
      <vt:lpstr>'OSNOVNE ŠKOLE'!Podrucje_ispisa</vt:lpstr>
      <vt:lpstr>'SREDNJE ŠKOLE'!Podrucje_ispisa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Nekić Pavičić</dc:creator>
  <cp:lastModifiedBy>Sandra Majerović</cp:lastModifiedBy>
  <cp:lastPrinted>2018-10-17T12:33:39Z</cp:lastPrinted>
  <dcterms:created xsi:type="dcterms:W3CDTF">2017-11-04T15:07:32Z</dcterms:created>
  <dcterms:modified xsi:type="dcterms:W3CDTF">2018-10-17T12:51:57Z</dcterms:modified>
</cp:coreProperties>
</file>